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89" activeTab="0"/>
  </bookViews>
  <sheets>
    <sheet name="PLAN. QUANTITATIVA" sheetId="1" r:id="rId1"/>
    <sheet name="MEMÓRIA DE CÁLCULO" sheetId="2" state="hidden" r:id="rId2"/>
    <sheet name="BDI" sheetId="3" r:id="rId3"/>
    <sheet name="Cronograma Físico-financeiro" sheetId="4" r:id="rId4"/>
  </sheets>
  <definedNames>
    <definedName name="_xlnm.Print_Area" localSheetId="2">'BDI'!$B$6:$H$41</definedName>
    <definedName name="_xlnm.Print_Area" localSheetId="3">'Cronograma Físico-financeiro'!$A$1:$O$43</definedName>
    <definedName name="_xlnm.Print_Area" localSheetId="1">'MEMÓRIA DE CÁLCULO'!$A$1:$J$306</definedName>
    <definedName name="_xlnm.Print_Area" localSheetId="0">'PLAN. QUANTITATIVA'!$A$2:$K$382</definedName>
    <definedName name="Excel_BuiltIn__FilterDatabase" localSheetId="3">'Cronograma Físico-financeiro'!$A$11:$M$49</definedName>
    <definedName name="Excel_BuiltIn__FilterDatabase" localSheetId="1">'MEMÓRIA DE CÁLCULO'!$A$13:$J$27</definedName>
    <definedName name="Excel_BuiltIn__FilterDatabase" localSheetId="0">'PLAN. QUANTITATIVA'!$A$14:$K$30</definedName>
    <definedName name="Excel_BuiltIn_Print_Area" localSheetId="1">'MEMÓRIA DE CÁLCULO'!$A$1:$J$99</definedName>
    <definedName name="Excel_BuiltIn_Print_Area" localSheetId="0">'PLAN. QUANTITATIVA'!$A$2:$K$121</definedName>
    <definedName name="_xlnm.Print_Titles" localSheetId="3">'Cronograma Físico-financeiro'!$10:$10</definedName>
    <definedName name="_xlnm.Print_Titles" localSheetId="1">'MEMÓRIA DE CÁLCULO'!$12:$12</definedName>
    <definedName name="_xlnm.Print_Titles" localSheetId="0">'PLAN. QUANTITATIVA'!$13:$13</definedName>
  </definedNames>
  <calcPr fullCalcOnLoad="1"/>
</workbook>
</file>

<file path=xl/sharedStrings.xml><?xml version="1.0" encoding="utf-8"?>
<sst xmlns="http://schemas.openxmlformats.org/spreadsheetml/2006/main" count="2751" uniqueCount="521">
  <si>
    <t>MUNICÍPIO</t>
  </si>
  <si>
    <t>PERDIGÃO-MG</t>
  </si>
  <si>
    <t>DATA</t>
  </si>
  <si>
    <t>ENDEREÇO DE OBRA</t>
  </si>
  <si>
    <t>BDI</t>
  </si>
  <si>
    <t>Item</t>
  </si>
  <si>
    <t>Fonte</t>
  </si>
  <si>
    <t>Código</t>
  </si>
  <si>
    <t>Discriminação</t>
  </si>
  <si>
    <t>Unidade</t>
  </si>
  <si>
    <t>Quant.</t>
  </si>
  <si>
    <t>Custo Unit. (R$)</t>
  </si>
  <si>
    <t xml:space="preserve">Valor Unitario (R$) </t>
  </si>
  <si>
    <t>Total</t>
  </si>
  <si>
    <t>Total Acumulado</t>
  </si>
  <si>
    <t>SERVIÇOS PRELIMINARES</t>
  </si>
  <si>
    <t>1.1</t>
  </si>
  <si>
    <t>SETOP</t>
  </si>
  <si>
    <t>ED-16660</t>
  </si>
  <si>
    <t>m2</t>
  </si>
  <si>
    <t>1.2</t>
  </si>
  <si>
    <t>ED-50273</t>
  </si>
  <si>
    <t>LOCAÇÃO DA OBRA (GABARITO)</t>
  </si>
  <si>
    <t xml:space="preserve">SUB TOTAL </t>
  </si>
  <si>
    <t>ESTRUTURAL</t>
  </si>
  <si>
    <t>2.1</t>
  </si>
  <si>
    <t>FUNDAÇÃO</t>
  </si>
  <si>
    <t>2.1.1</t>
  </si>
  <si>
    <t>ED-51110</t>
  </si>
  <si>
    <t>ESCAVAÇÃO MANUAL DE TERRA (DESATERRO MANUAL)</t>
  </si>
  <si>
    <t>m3</t>
  </si>
  <si>
    <t>2.1.2</t>
  </si>
  <si>
    <t>ED-48298</t>
  </si>
  <si>
    <t>CORTE, DOBRA E MONTAGEM DE AÇO CA-50/60 (INCLUSIVE FORNECIMENTO)</t>
  </si>
  <si>
    <t>KG</t>
  </si>
  <si>
    <t>2.1.3</t>
  </si>
  <si>
    <t xml:space="preserve">ED-9053 </t>
  </si>
  <si>
    <t xml:space="preserve">FORNECIMENTO DE CONCRETO ESTRUTURAL, USINADO BOMBEADO, AUTO-ADENSÁVEL, COM FCK 25 MPA, INCLUSIVE LANÇAMENTO E ACABAMENTO </t>
  </si>
  <si>
    <t>2.2</t>
  </si>
  <si>
    <t>PILARES</t>
  </si>
  <si>
    <t>2.2.1</t>
  </si>
  <si>
    <t>SINAPI</t>
  </si>
  <si>
    <t>MONTAGEM E DESMONTAGEM DE FÔRMA DE PILARES RETANGULARES E ESTRUTURAS SIMILARES, PÉ-DIREITO DUPLO, EM CHAPA DE MADEIRA COMPENSADA PLASTIFICADA, 14 UTILIZAÇÕES. AF_09/2020</t>
  </si>
  <si>
    <t>2.2.2</t>
  </si>
  <si>
    <t>2.2.3</t>
  </si>
  <si>
    <t>ED-9053</t>
  </si>
  <si>
    <t>2.3</t>
  </si>
  <si>
    <t>VIGAS</t>
  </si>
  <si>
    <t>2.3.1</t>
  </si>
  <si>
    <t xml:space="preserve">MONTAGEM E DESMONTAGEM DE FÔRMA DE VIGA, ESCORAMENTO COM GARFO DE MADE M2 CR 141,42 IRA, PÉ-DIREITO DUPLO, EM CHAPA DE MADEIRA RESINADA, 4 UTILIZAÇÕES. AF _09/2020 </t>
  </si>
  <si>
    <t>2.3.2</t>
  </si>
  <si>
    <t>2.3.3</t>
  </si>
  <si>
    <t>3.1</t>
  </si>
  <si>
    <t>SUB TOTAL</t>
  </si>
  <si>
    <t>4.1</t>
  </si>
  <si>
    <t>UND</t>
  </si>
  <si>
    <t>PAISAGISMO</t>
  </si>
  <si>
    <t>5.1</t>
  </si>
  <si>
    <t xml:space="preserve">ED-50437 </t>
  </si>
  <si>
    <t>PLANTIO DE GRAMA ESMERALDA EM PLACAS, INCLUSIVE TERRA VEGETAL E CONSERVAÇÃO POR 30 DIAS, (INCLUSIVE PREPARO DO SOLO COM ADUBO SUBSTRATO)</t>
  </si>
  <si>
    <t>5.2</t>
  </si>
  <si>
    <t>ALVENARIA</t>
  </si>
  <si>
    <t>6.1</t>
  </si>
  <si>
    <t>ED-48232</t>
  </si>
  <si>
    <t>ALVENARIA DE VEDAÇÃO COM TIJOLO CERÂMICO FURADO, ESP. 14CM, PARA REVESTIMENTO, INCLUSIVE ARGAMASSA PARA ASSENTAMENTO</t>
  </si>
  <si>
    <t>7.1</t>
  </si>
  <si>
    <t>7.2</t>
  </si>
  <si>
    <t xml:space="preserve">REVESTIMENTO </t>
  </si>
  <si>
    <t>8.1</t>
  </si>
  <si>
    <t>OLHAR PILAR</t>
  </si>
  <si>
    <t xml:space="preserve">ED-50730 </t>
  </si>
  <si>
    <t xml:space="preserve">CHAPISCO COM ARGAMASSA, TRAÇO 1:2:3 (CIMENTO, AREIA E PEDRISCO), APLICADO COM COLHER, ESP. 5MM, PREPARO MECÂNICO </t>
  </si>
  <si>
    <t>8.2</t>
  </si>
  <si>
    <t>ED-50761</t>
  </si>
  <si>
    <t>REBOCO COM ARGAMASSA, TRAÇO 1:2:8 (CIMENTO, CAL E AREIA), ESP. 20MM, APLICAÇÃO MANUAL, PREPARO MECÂNICO</t>
  </si>
  <si>
    <t>PINTURA</t>
  </si>
  <si>
    <t>9.1</t>
  </si>
  <si>
    <t>OLHAR AREA TOTAL BIANCA</t>
  </si>
  <si>
    <t>ED-50451</t>
  </si>
  <si>
    <t>PINTURA ACRÍLICA EM PAREDE, DUAS (2) DEMÃOS, EXCLUSIVE SELADOR ACRÍLICO E MASSA ACRÍLICA/CORRIDA (PVA)</t>
  </si>
  <si>
    <t>9.2</t>
  </si>
  <si>
    <t>ED-50514</t>
  </si>
  <si>
    <t>PREPARAÇÃO PARA EMASSAMENTO OU PINTURA (LÁTEX/ACRÍLICA) EM PAREDE, INCLUSIVE UMA (1) DEMÃO DE SELADOR ACRÍLICO</t>
  </si>
  <si>
    <t>INSTALAÇÕES ELÉTRICAS</t>
  </si>
  <si>
    <t>10.1</t>
  </si>
  <si>
    <t>ED-50232</t>
  </si>
  <si>
    <t xml:space="preserve">PONTO DE EMBUTIR PARA UMA (1) TOMADA PADRÃO, TRÊS (3) POLOS (2P+T/10A-250V), COM PLACA 4"X2" DE UM (1) POSTO, COM ELETRODUTO FLEXÍVEL CORRUGADO, ANTI-CHAMA, DN 25MM (3/4"), EMBUTIDO NA ALVENARIA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 </t>
  </si>
  <si>
    <t>10.2</t>
  </si>
  <si>
    <t>PONTO DE ILUMINAÇÃO RESIDENCIAL INCLUINDO INTERRUPTOR SIMPLES, CAIXA ELÉTRICA, ELETRODUTO, CABO, RASGO, QUEBRA E CHUMBAMENTO (EXCLUINDO LUMINÁRIA E LÂMPADA). AF_01/2016</t>
  </si>
  <si>
    <t>LIMPEZA DA OBRA</t>
  </si>
  <si>
    <t>11.1</t>
  </si>
  <si>
    <t>ED-50266</t>
  </si>
  <si>
    <t>LIMPEZA FINAL PARA ENTREGA DA OBRA</t>
  </si>
  <si>
    <t>Gilmar Teodoro de São José</t>
  </si>
  <si>
    <t>Prefeito do Municipio de Perdigão-MG</t>
  </si>
  <si>
    <t>PINTURA DE ESQUADRILHA</t>
  </si>
  <si>
    <t>ENDEREÇO:</t>
  </si>
  <si>
    <t>MUNICÍPIO:</t>
  </si>
  <si>
    <t>QUADRO DE COMPOSIÇÃO DO BDI</t>
  </si>
  <si>
    <t>ITENS</t>
  </si>
  <si>
    <t>SIGLAS</t>
  </si>
  <si>
    <t>% ADOTADO</t>
  </si>
  <si>
    <t>CUSTO DIRETO</t>
  </si>
  <si>
    <t>CD</t>
  </si>
  <si>
    <t>ADMINISTRAÇÃO CENTRAL</t>
  </si>
  <si>
    <t>AC</t>
  </si>
  <si>
    <t>LUCRO</t>
  </si>
  <si>
    <t>L</t>
  </si>
  <si>
    <t>DESPESAS FINANCEIRAS</t>
  </si>
  <si>
    <t>DF</t>
  </si>
  <si>
    <t>SEGUROS, GARANTIAS E RISCO</t>
  </si>
  <si>
    <t>SEGUROS + GARANTIAS</t>
  </si>
  <si>
    <t>RISCO</t>
  </si>
  <si>
    <t>R</t>
  </si>
  <si>
    <t>TRIBUTOS</t>
  </si>
  <si>
    <t>I</t>
  </si>
  <si>
    <t>ISS</t>
  </si>
  <si>
    <t>PIS</t>
  </si>
  <si>
    <t>COFINS</t>
  </si>
  <si>
    <t>CPRB</t>
  </si>
  <si>
    <t>INSS</t>
  </si>
  <si>
    <t>BDI sem desoneração</t>
  </si>
  <si>
    <t>Os valores de BDI foram calculados com o emprego da fórmula:</t>
  </si>
  <si>
    <t>BDI=</t>
  </si>
  <si>
    <t>(1 + (AC + S + G + R)) X (1 + DF) X (1 + L)</t>
  </si>
  <si>
    <t>(1 - (I + CPRB))</t>
  </si>
  <si>
    <t>BDI CONFORME ACORDÃO Nº 13.161 DE 31/08/2015</t>
  </si>
  <si>
    <t>CRONOGRAMA FÍSICO-FINANCEIRO</t>
  </si>
  <si>
    <t xml:space="preserve">PREFEITURA: PERDIGÃO </t>
  </si>
  <si>
    <t>VALOR DA OBRA:</t>
  </si>
  <si>
    <t>ITEM</t>
  </si>
  <si>
    <t>ETAPAS/DESCRIÇÃO</t>
  </si>
  <si>
    <t>FÍSICO/ FINANCEIRO</t>
  </si>
  <si>
    <t>TOTAL  ETAPAS</t>
  </si>
  <si>
    <t>MÊS 1</t>
  </si>
  <si>
    <t>MÊS 2</t>
  </si>
  <si>
    <t>MÊS 3</t>
  </si>
  <si>
    <t>Físico %</t>
  </si>
  <si>
    <t>Financeiro</t>
  </si>
  <si>
    <t>TOTAL</t>
  </si>
  <si>
    <t>Acumulado</t>
  </si>
  <si>
    <t>Observações:</t>
  </si>
  <si>
    <t>CONFORME PROJETO ESTRUTURAL</t>
  </si>
  <si>
    <t>2.4</t>
  </si>
  <si>
    <t>2.4.1</t>
  </si>
  <si>
    <t>2.4.2</t>
  </si>
  <si>
    <t>2.4.3</t>
  </si>
  <si>
    <t>LAJE</t>
  </si>
  <si>
    <t>4.2</t>
  </si>
  <si>
    <t>4.3</t>
  </si>
  <si>
    <t>ED-50956</t>
  </si>
  <si>
    <t>4.4</t>
  </si>
  <si>
    <t>ED-50732</t>
  </si>
  <si>
    <t>EMBOÇO COM ARGAMASSA, TRAÇO 1:6 (CIMENTO E AREIA), ESP. 20MM, APLICAÇÃO MANUAL, PREPARO MECÂNICO</t>
  </si>
  <si>
    <t>5.3</t>
  </si>
  <si>
    <t>5.4</t>
  </si>
  <si>
    <t>5.5</t>
  </si>
  <si>
    <t>ED-50717</t>
  </si>
  <si>
    <t>6.2</t>
  </si>
  <si>
    <t>6.3</t>
  </si>
  <si>
    <t>ED-50452</t>
  </si>
  <si>
    <t>PINTURA ACRÍLICA EM TETO, DUAS (2) DEMÃOS, EXCLUSIVE SELADOR ACRÍLICO E MASSA ACRÍLICA/CORRIDA (PVA)</t>
  </si>
  <si>
    <t>6.4</t>
  </si>
  <si>
    <t>7.3</t>
  </si>
  <si>
    <t>8.3</t>
  </si>
  <si>
    <t>9.3</t>
  </si>
  <si>
    <t>9.4</t>
  </si>
  <si>
    <t>9.5</t>
  </si>
  <si>
    <t>9.6</t>
  </si>
  <si>
    <t>9.7</t>
  </si>
  <si>
    <t>9.8</t>
  </si>
  <si>
    <t>9.9</t>
  </si>
  <si>
    <t>m</t>
  </si>
  <si>
    <t>10.3</t>
  </si>
  <si>
    <t>10.4</t>
  </si>
  <si>
    <t>10.5</t>
  </si>
  <si>
    <t>10.6</t>
  </si>
  <si>
    <t>10.7</t>
  </si>
  <si>
    <t>ED-49990</t>
  </si>
  <si>
    <t>REGISTRO DE GAVETA, TIPO BASE, ROSCÁVEL 3/4" (PARA TUBO SOLDÁVEL OU PPR DN 25MM/CPVC DN 22MM), INCLUSIVE ACABAMENTO (PADRÃO POPULAR) E CANOPLA CROMADOS</t>
  </si>
  <si>
    <t>10.8</t>
  </si>
  <si>
    <t>ED-49996</t>
  </si>
  <si>
    <t>REGISTRO DE GAVETA, TIPO BASE,  ROSCÁVEL 1.1/2" (PARA TUBO SOLDÁVEL OU PPR DN 50MM/CPVC DN 42MM), INCLUSIVE ACABAMENTO (PADRÃO POPULAR) E CANOPLA CROMADOS</t>
  </si>
  <si>
    <t>ED-49950</t>
  </si>
  <si>
    <t>CAIXA DE INSPEÇÃO DE POLIETILENO , Ø 100 MM</t>
  </si>
  <si>
    <t>ED-50296</t>
  </si>
  <si>
    <t xml:space="preserve">BACIA SANITÁRIA (VASO) DE LOUÇA CONVENCIONAL, COR
BRANCA, INCLUSIVE ACESSÓRIOS DE FIXAÇÃO/VEDAÇÃO,
FORNECIMENTO, INSTALAÇÃO E REJUNTAMENTO, EXCLUSIVE
VÁLVULA DE DESCARGA E TUBO DE LIGAÇÃO
</t>
  </si>
  <si>
    <t>ED-50337</t>
  </si>
  <si>
    <t>VÁLVULA DE DESCARGA COM REGISTRO INTERNO, ACIONAMENTO SIMPLES, DN 1.1/2" (50MM), INCLUSIVE ACABAMENTO DA VÁLVULA</t>
  </si>
  <si>
    <t>OBRA: ESPAÇO CULTURAL, NO MUNICÍPIO DE PERDIGÃO-MG</t>
  </si>
  <si>
    <t>FORNECIMENTO E COLOCAÇÃO DE PLACA DE OBRA EM CHAPA GALVANIZADA (3,00 X 1,5 0 M) - EM CHAPA GALVANIZADA 0,26 AFIXADAS COM REBITES 540 E PARAFUSOS 3/8, EM ESTRUTURA METÁLICA VIGA U 2" ENRIJECIDA COM METALON 20 X 20, SUPORTE EM EUCALIPTO AUTOCLAVADO PINTADAS</t>
  </si>
  <si>
    <t>1.3</t>
  </si>
  <si>
    <t>1.4</t>
  </si>
  <si>
    <t>1.5</t>
  </si>
  <si>
    <t>ED-48443</t>
  </si>
  <si>
    <t>DEMOLIÇÃO DE CONCRETO ARMADO - COM EQUIPAMENTO ELÉTRICO, INCLUSIVE AFASTAMENTO</t>
  </si>
  <si>
    <t>ED-48436</t>
  </si>
  <si>
    <t>DEMOLIÇÃO DE ALVENARIA DE TIJOLO CERÂMICO SEM APROVEITAMENTO DO MATERIAL, INCLUSIVE AFASTAMENTO</t>
  </si>
  <si>
    <t>1.7</t>
  </si>
  <si>
    <t>DEMOLIÇÃO DE PISO CERÂMICO OU LADRILHO HIDRÁULICO, INCLUSIVE AFASTAMENTO</t>
  </si>
  <si>
    <t>ED-48480</t>
  </si>
  <si>
    <t>RO-43901</t>
  </si>
  <si>
    <t>CARGA, TRANSPORTE E DESCARGA DE MATERIAL DE 1ª CATEGORIA, COM CAMINHÃO. DISTÂNCIA MÉDIA DE TRANSPORTE DE 1.401 A 1.600 M</t>
  </si>
  <si>
    <t>ED-51122</t>
  </si>
  <si>
    <t>REGULARIZAÇÃO E COMPACTAÇÃO DE TERRENO MANUAL, COM SOQUETE</t>
  </si>
  <si>
    <t>2.1.4</t>
  </si>
  <si>
    <t>2.1.5</t>
  </si>
  <si>
    <t>ESCADA</t>
  </si>
  <si>
    <t>FABRICAÇÃO DE FÔRMA PARA ESCADAS, COM 2 LANCES EM "U" E LAJE PLANA, EM CHAPA DE MADEIRA COMPENSADA PLASTIFICADA, E=18 MM. AF_11/2020</t>
  </si>
  <si>
    <t>MONTAGEM E DESMONTAGEM DE FÔRMA PARA ESCADAS, COM 2 LANCES EM "U" E LAJE PLANA, EM CHAPA DE MADEIRA COMPENSADA RESINADA, 2 UTILIZAÇÕES. AF_11/2020</t>
  </si>
  <si>
    <t>(COMPOSIÇÃO REPRESENTATIVA) EXECUÇÃO DE ESCADA EM CONCRETO ARMADO, MOLDADA IN LOCO, FCK = 25 MPA. AF_02/2017</t>
  </si>
  <si>
    <t>2.4.4</t>
  </si>
  <si>
    <t>2.4.5</t>
  </si>
  <si>
    <t>3.2</t>
  </si>
  <si>
    <t>m³</t>
  </si>
  <si>
    <t>FORRO</t>
  </si>
  <si>
    <t>ED-49686</t>
  </si>
  <si>
    <t>FORRO DE GESSO EM PLACAS ACARTONADAS - FGE</t>
  </si>
  <si>
    <t>m²</t>
  </si>
  <si>
    <t>ED-50574</t>
  </si>
  <si>
    <t>APLICAÇÃO DE FAIXA/FITA ADESIVA ANTIDERRAPANTE, LARGURA 50MM, EM DEGRAUS DE ESCADA, INCLUSIVE FORNECIMENTO</t>
  </si>
  <si>
    <t>8.4</t>
  </si>
  <si>
    <t>ED-50575</t>
  </si>
  <si>
    <t>FAIXA/FRISO ANTIDERRAPANTE EM PEDRA, LARGURA 50MM, EM DEGRAU DE ESCADA, EXECUÇÃO MECÂNICA</t>
  </si>
  <si>
    <t>ED-50485</t>
  </si>
  <si>
    <t>EMASSAMENTO EM FORRO DE GESSO COM MASSA ACRÍLICA, UMA (1) DEMÃO, INCLUSIVE LIXAMENTO PARA PINTURA</t>
  </si>
  <si>
    <t>HIDROSSANITÁRIO</t>
  </si>
  <si>
    <t>ALVENARIA DE VEDAÇÃO COM TIJOLO CERÂMICO FURADO, ESP. 19CM, PARA REVESTIMENTO, INCLUSIVE ARGAMASSA PARA  ASSENTAMENTO</t>
  </si>
  <si>
    <t>ED-48233</t>
  </si>
  <si>
    <t>ED-48210</t>
  </si>
  <si>
    <t>PAREDE DE GESSO ACARTONADO (DRY-WALL), DIVISÃO ENTRE ÁREAS SECA E ÚMIDA DE UMA MESMA UNIDADE (ST/RU), ESP. 115 MM, INCLUSIVE MONTANTES, GUIAS E ACESSÓRIOS, EXCLUSIVE ISOLANTE TÉRMICO/ACÚSTICO</t>
  </si>
  <si>
    <t>ED-48209</t>
  </si>
  <si>
    <t>PAREDE DE GESSO ACARTONADO (DRY-WALL), DIVISÃO ENTRE ÁREAS SECAS DE UMA MESMA UNIDADE (ST/ST), ESP. 115 MM, INCLUSIVE MONTANTES, GUIAS E ACESSÓRIOS, EXCLUSIVE ISOLANTE TÉRMICO/ACÚSTICO</t>
  </si>
  <si>
    <t>PLANTIO E PREPARO DE COVAS DE ARBUSTOS ORNAMENTAIS EM GERAL, EXCETO FORNECIMENTO DAS MUDAS</t>
  </si>
  <si>
    <t>ED-50433</t>
  </si>
  <si>
    <t xml:space="preserve">ED-49939 </t>
  </si>
  <si>
    <t>CAIXA DE GORDURA SIMPLES (CGS), CIRCULAR, EM CONCRETO PRÉ-MOLDADO, CAPACIDADE DE 31L, INCLUSIVE ESCAVAÇÃO, REATERRO, TRANSPORTE E RETIRADA DO MATERIAL ESCAVADO (EM CAÇAMBA)</t>
  </si>
  <si>
    <t xml:space="preserve">ED-50282 </t>
  </si>
  <si>
    <t xml:space="preserve">LAVATÓRIO DE LOUÇA BRANCA COM COLUNA, TAMANHO MÉDIO, INCLUSIVE ACESSÓRIOS DE FIXAÇÃO, VÁLVULA DE ESCOAMENTO DE METAL COM ACABAMENTO CROMADO, SIFÃO DE METAL TIPO COPO COM ACABAMENTO CROMADO, FORNECIMENTO, INSTALAÇÃO E REJUNTAMENTO, EXCLUSIVE TORNEIRA E ENGATE FLEXÍVEL </t>
  </si>
  <si>
    <t>ED-50223</t>
  </si>
  <si>
    <t>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</si>
  <si>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 xml:space="preserve">ED-50277 </t>
  </si>
  <si>
    <t xml:space="preserve">CUBA EM AÇO INOXIDÁVEL DE EMBUTIR, AISI 304, APLICAÇÃO PARA PIA (465X330X115MM), NÚMERO 1, ASSENTAMENTO EM BANCADA, INCLUSIVE VÁLVULA DE ESCOAMENTO DE METAL COM ACABAMENTO CROMADO, SIFÃO DE METAL TIPO COPO COM ACABAMENTO CROMADO, FORNECIMENTO E INSTALAÇÃO </t>
  </si>
  <si>
    <t xml:space="preserve">ED-50324 </t>
  </si>
  <si>
    <t xml:space="preserve">TORNEIRA METÁLICA PARA PIA, BICA MÓVEL, ACABAMENTO CROMADO, COM AREJADOR, APLICAÇÃO DE MESA, INCLUSIVE ENGATE FLEXÍVEL METÁLICO, FORNECIMENTO E INSTALAÇÃO </t>
  </si>
  <si>
    <t xml:space="preserve">ED-50225 </t>
  </si>
  <si>
    <t>PONTO DE EMBUTIR PARA ESGOTO EM TUBO PVC RÍGIDO, PBV - SÉRIE NORMAL, DN 50MM (2"), EMBUTIDO EM PISO COM DISTÂNCIA DE ATÉ CINCO (5) METROS DA RAMAL DE ESGOTO, EXCLUSIVE ESCAVAÇÃO, INCLUSIVE CONEXÕES E FIXAÇÃO DO TUBO COM ENCHIMENTO DO RASGO NO CONCRETO COM ARGAMASSA</t>
  </si>
  <si>
    <t>ED-50224</t>
  </si>
  <si>
    <t>ED-50329</t>
  </si>
  <si>
    <t>TORNEIRA METÁLICA PARA LAVATÓRIO, FECHAMENTO AUTOMÁTICO, ACABAMENTO CROMADO, COM AREJADOR, APLICAÇÃO DE MESA, INCLUSIVE ENGATE FLEXÍVEL METÁLICO, FORNECIMENTO E INSTALAÇÃO</t>
  </si>
  <si>
    <t>PONTO DE EMBUTIR PARA ESGOTO EM TUBO PVC RÍGIDO, PBV - 
SÉRIE NORMAL, DN 100MM (4"), EMBUTIDO EM PISO COM 
DISTÂNCIA DE ATÉ CINCO (5) METROS DA RAMAL DE ESGOTO, 
INCLUSIVE CONEXÕES E FIXAÇÃO DO TUBO COM ENCHIMENTO 
DO RASGO NO CONCRETO COM ARGAMASSA</t>
  </si>
  <si>
    <t>REVESTIMENTO COM AZULEJO BRANCO (20X20CM), JUNTA A PRUMO, ASSENTAMENTO COM ARGAMASSA INDUSTRIALIZADA, INCLUSIVE REJUNTAMENTO</t>
  </si>
  <si>
    <t>ED-50753</t>
  </si>
  <si>
    <t>REVESTIMENTO COM PORCELANATO APLICADO EM PISO, ACABAMENTO ESMALTADO ACETINADO, AMBIENTE INTERNO/EXTERNO, PADRÃO EXTRA, BORDA RETIFICADA, DIMENSÃO DA PEÇA (45X45CM), ASSENTAMENTO COM ARGAMASSA INDUSTRIALIZADA, INCLUSIVE REJUNTAMENTO</t>
  </si>
  <si>
    <t>FACHADA</t>
  </si>
  <si>
    <t>TARJETA CROMADA, INSTALADA PORTAS DE SANITÁRIOS</t>
  </si>
  <si>
    <t>ED-49704</t>
  </si>
  <si>
    <t>CONJUNTO DE FERRAGENS PARA CONFECÇÃO DE PORTA DE DIVISÓRIA</t>
  </si>
  <si>
    <t>ED-48538</t>
  </si>
  <si>
    <t>UJ</t>
  </si>
  <si>
    <t>ASSENTAMENTO DE PORTA DE METÁLICA UMA (1) OU DUAS (2) FOLHAS</t>
  </si>
  <si>
    <t>ED-50934</t>
  </si>
  <si>
    <t>PINTURA ACRÌLICA EM TETO, DUAS (2) DEMÃOS, EXCLUSIVE SELADOR ACRÌLICO E MASSA ACRÌLICA/CORRIDA (PVA)</t>
  </si>
  <si>
    <t>FORNECIMENTO E ASSENTAMENTO DE PORTA DE CORRER UMA (1) FOLHA, EM CHAPA GALVANIZADA LAMBRIL, MODELO ONDULADA, INCLUSIVE PERFIS PARA MARCO E PINTURA ANTICORROSIVA COM UMA (1) DEMÃO, EXCLUSIVE FECHADURA E ROLDANAS</t>
  </si>
  <si>
    <t>ED-13888</t>
  </si>
  <si>
    <t>FORNECIMENTO E INSTALAÇÃO DE FERRAGENS PARA PORTA DE CORRER COM UMA (1) FOLHA, BATENTE COM ALTURA MÁXIMA DE 2,3M, INCLUSIVE FECHADURA, MODELO BICO PAPAGAIO, ROLDANA INFERIOR E SUPERIOR, MODELO TIPO U, CAPACIDADE 360KG</t>
  </si>
  <si>
    <t>ED-13911</t>
  </si>
  <si>
    <t>PORTA DE ABRIR EM BARRAS TRANSVERSAIS DE FERRO CHATO SAE 1045 2" X 5/16" REVESTIDA EM CHAPA 14 SAE 1020 - PADRÃO SEDS</t>
  </si>
  <si>
    <t>ED-50802</t>
  </si>
  <si>
    <t>PORTA DE ABRIR, 02 FOLHAS, EM CHAPA 14 SAE 1020 - PADRÃO SEDS</t>
  </si>
  <si>
    <t>ED-50796</t>
  </si>
  <si>
    <t>VIDRO TEMPERADO INCOLOR, ESP. 10MM, INCLUSIVE FIXAÇÃO E VEDAÇÃO COM GUARNIÇÃO/GAXETA DE BORRACHA NEOPRENE, FORNECIMENTO E INSTALAÇÃO, EXCLUSIVE CAIXILHO/PERFIL</t>
  </si>
  <si>
    <t>ED-51160</t>
  </si>
  <si>
    <t>RALO SEMI- HEMISFÉRICO TIPO ABACAXI D = 50 MM</t>
  </si>
  <si>
    <t>ED-49960</t>
  </si>
  <si>
    <t>FORNECIMENTO E ASSENTAMENTO DE JANELA BASCULANTE DE FERRO</t>
  </si>
  <si>
    <t>ED-50954</t>
  </si>
  <si>
    <t>ED-50932</t>
  </si>
  <si>
    <t>ASSENTAMENTO DE JANELAS METÁLICAS DE CORRER E MAXIM-AR</t>
  </si>
  <si>
    <t>BANCADA EM ARDÓSIA E = 3 CM, L = 55 CM, APOIADA EM CONSOLE DE METALON</t>
  </si>
  <si>
    <t>ED-48339</t>
  </si>
  <si>
    <t>ED-50168</t>
  </si>
  <si>
    <t>IMPERMEABILIZAÇÃO COM MANTA ASFÁLTICA PRÉ-FABRICADA, E = 4 MM</t>
  </si>
  <si>
    <t>RO-41559</t>
  </si>
  <si>
    <t>FORMAS CURVAS DE MADEIRIT (EXECUÇÃO, INCLUINDO DESFORMA, FORNECIMENTO E TRANSPORTE DE TODOS OS MATERIAIS)</t>
  </si>
  <si>
    <t>SINAP</t>
  </si>
  <si>
    <t xml:space="preserve"> </t>
  </si>
  <si>
    <t>CORRIMÃO SIMPLES EM TUBO GALVANIZADO DIN 2440, D = 1 1/2" - FIXADO EM PISO</t>
  </si>
  <si>
    <t>ED-50936</t>
  </si>
  <si>
    <t>LAJE MACIÇA 15 CM DE CONCRETO 13,5 MPA COM ADITIVO IMPERMEABILIZANTE, ARMAÇÃO, FORMA , DESFORMA ( FUNDO CAIXA DÁGUA E COBERTURA)</t>
  </si>
  <si>
    <t>ED-50847</t>
  </si>
  <si>
    <t>ED-50845</t>
  </si>
  <si>
    <t>EMASSAMENTO EM FORRO DE GESSO COM MASSA ACRÍLICA, UMA (1) DEMÃO INCLUSIVE LIXAMENTO PARA PINTURA</t>
  </si>
  <si>
    <t>7.6</t>
  </si>
  <si>
    <t>7.4</t>
  </si>
  <si>
    <t>7.5</t>
  </si>
  <si>
    <t>7.7</t>
  </si>
  <si>
    <t>9.1.1</t>
  </si>
  <si>
    <t>9.1.2</t>
  </si>
  <si>
    <t>9.1.3</t>
  </si>
  <si>
    <t>9.2.2</t>
  </si>
  <si>
    <t>9.2.3</t>
  </si>
  <si>
    <t>9.2.4</t>
  </si>
  <si>
    <t>11.2</t>
  </si>
  <si>
    <t>11.3</t>
  </si>
  <si>
    <t>11.4</t>
  </si>
  <si>
    <t>11.5</t>
  </si>
  <si>
    <t>11.6</t>
  </si>
  <si>
    <t>11.7</t>
  </si>
  <si>
    <t>11.8</t>
  </si>
  <si>
    <t>11.9</t>
  </si>
  <si>
    <t>11.10</t>
  </si>
  <si>
    <t>11.11</t>
  </si>
  <si>
    <t>11.12</t>
  </si>
  <si>
    <t>11.13</t>
  </si>
  <si>
    <t>11.14</t>
  </si>
  <si>
    <t>11.15</t>
  </si>
  <si>
    <t>12.1</t>
  </si>
  <si>
    <t>12.2</t>
  </si>
  <si>
    <t>12.3</t>
  </si>
  <si>
    <t>12.4</t>
  </si>
  <si>
    <t>12.5</t>
  </si>
  <si>
    <t>12.6</t>
  </si>
  <si>
    <t>12.7</t>
  </si>
  <si>
    <t>12.8</t>
  </si>
  <si>
    <t>13.1</t>
  </si>
  <si>
    <t>13.2</t>
  </si>
  <si>
    <t>3.3</t>
  </si>
  <si>
    <t>und</t>
  </si>
  <si>
    <t>kg</t>
  </si>
  <si>
    <t>PAREDE 15 CM CONCRETO 20 MPA COM ADITIVO IMPERMEABILIZANTE, ARMAÇÃO, FORMA, DESFORMA (PAREDE DA CAIXA DÁGUA)</t>
  </si>
  <si>
    <t>TÉRREO</t>
  </si>
  <si>
    <t>Hitalo Angelo Alves de Oliveira</t>
  </si>
  <si>
    <t>Arquiteto e Urbanista CAU-MG A168982-7</t>
  </si>
  <si>
    <t>RUA CONSTANTINO DIMITRIUS BILALIS ESQUINA COM RUA JOSÉ JACINTO BRANDÃO</t>
  </si>
  <si>
    <t xml:space="preserve">
       PREFEITURA DE PERDIGÃO – 2021/2024
Av. Santa Rita, 150 – Centro - Perdigão/MG - CEP: 35.545-000   CNPJ – 18.301.051/0001-19 
Tel/ Fax: (37) 3287-1030 e-mail: prefeituraperdigao@netsite.com.br
</t>
  </si>
  <si>
    <t>PLANILHA QUANTITATIVA E ORÇAMENTÁRIA</t>
  </si>
  <si>
    <t>Total Geral do pavimento TÉRREO</t>
  </si>
  <si>
    <t>1.1.1</t>
  </si>
  <si>
    <t>1.1.2</t>
  </si>
  <si>
    <t>1.1.3</t>
  </si>
  <si>
    <t>1.2.1</t>
  </si>
  <si>
    <t>1.2.2</t>
  </si>
  <si>
    <t>1.2.3</t>
  </si>
  <si>
    <t>1.3.1</t>
  </si>
  <si>
    <t>FABRICAÇÃO DE FÔRMA PARA ESCADAS, COM 2 LANCES EM "U" E JAJE PLANA, EM CHAPA DE MADEIRA COMPENSADA PLASTIFICADA, E=18 MM. AF_11/2020</t>
  </si>
  <si>
    <t>1.3.2</t>
  </si>
  <si>
    <t>MONTAGEM E DESMONTAGEM DE FÔRMA PARA ESCADA COM 2 LANCES EM "U" E LAJE PLANA, EM CHAPA DE MADEIRA COMPENSADA RESINADA, 2 UTILIZAÇÕES. AF_11/2020</t>
  </si>
  <si>
    <t>1.3.3</t>
  </si>
  <si>
    <t>(COMPOSIÇÃO REPRESENTATIVA) EXECUÇÃO REPRESENTAÇÃO DE ESCADA EM CONCRETO ARMADO, MOLDADA IN LOCO, FCK = 25 MPA. AF_02/2017</t>
  </si>
  <si>
    <t>1.3.4</t>
  </si>
  <si>
    <t>1.3.5</t>
  </si>
  <si>
    <t>M2XMÊS</t>
  </si>
  <si>
    <t>PAREDE DE GESSO ACARTONADO (DRY-WALL), DIVISÃO ENTRE ÁREAS ÚMIDAS DE UMA MESMA UNIDADE (RU/RU), ESP. 115 MM, INCLUSIVE MONTANTES, GUIAS E ACESSÓRIOS, EXCLUSIVE ISOLANTE TÉRMICO/ACÚSTICO</t>
  </si>
  <si>
    <t>4.5</t>
  </si>
  <si>
    <t xml:space="preserve">ED-50732 </t>
  </si>
  <si>
    <t xml:space="preserve">EMBOÇO COM ARGAMASSA, TRAÇO 1:6 (CIMENTO E AREIA), ESP. 20MM, APLICAÇÃO MANUAL, PREPARO MECÂNICO </t>
  </si>
  <si>
    <t xml:space="preserve"> REVESTIMENTO COM PORCELANATO APLICADO EM PISO, ACABAMENTO ESMALTADO ACETINADO, AMBIENTE INTERNO/EXTERNO, PADRÃO EXTRA, BORDA RETIFICADA, DIMENSÃO DA PEÇA (45X45CM), ASSENTAMENTO COM ARGAMASSA INDUSTRIALIZADA, INCLUSIVE REJUNTAMENTO</t>
  </si>
  <si>
    <t>5.6</t>
  </si>
  <si>
    <t>7.1.1</t>
  </si>
  <si>
    <t>7.1.2</t>
  </si>
  <si>
    <t>7.1.3</t>
  </si>
  <si>
    <t xml:space="preserve">CONJUTOS E FERRAGENS PARA CONFECÇÃO DE PORTA DE DIVISÓRIA </t>
  </si>
  <si>
    <t>IJ</t>
  </si>
  <si>
    <t>7.1.4</t>
  </si>
  <si>
    <t>7.1.5</t>
  </si>
  <si>
    <t>ED-9075</t>
  </si>
  <si>
    <t xml:space="preserve"> FORNECIMENTO DE ANDAIME METÁLICO PARA FACHADA (LOCAÇÃO), INCLUSIVE PISO METÁLICO E SAPATAS, EXCLUSIVE MONTAGEM E DESMONTAGEM</t>
  </si>
  <si>
    <t>7.1.6</t>
  </si>
  <si>
    <t>ED-9076</t>
  </si>
  <si>
    <t>MONTAGEM E DESMONTAGEM DE ANDAIME METÁLICO PARA FACHADA COM PISO METÁLICO, EXCLUSIVE FORNECIMENTO DO ANDAIME E RODAPÉ/GUARDA-CORPO EM MADEIRA</t>
  </si>
  <si>
    <t>MXMÊS</t>
  </si>
  <si>
    <t>PILAR</t>
  </si>
  <si>
    <t>7.2.1</t>
  </si>
  <si>
    <t xml:space="preserve">CORTE, DOBRA E MONTAGEM DE AÇO CA-50-60 (INCLUSIVE FORNECIMENTO) </t>
  </si>
  <si>
    <t>7.2.4</t>
  </si>
  <si>
    <t>FORMAS CURVAS DEMADEIRIT (EXECUÇÃO, INCLUINDO DESFORMA, FORNECIMENTO E TRANSPORTE DE TODOS OS MATERIAIS)</t>
  </si>
  <si>
    <t>7.2.5</t>
  </si>
  <si>
    <t>CONCRETO USINADO BOMBEAVEL, CLASSE DE RESISTENCIA (C20, COM BRITA 0 E 1, SL</t>
  </si>
  <si>
    <t>FRONTÃO</t>
  </si>
  <si>
    <t>RO-41558</t>
  </si>
  <si>
    <t>FORMA PLANA DE MADEIRIT (EXECUÇÃO,INCLUINDO DESFORMA,FORNECIMENTO E TRANSPORTE DE TODOS OS MATERIAIS)</t>
  </si>
  <si>
    <t>ED-49937</t>
  </si>
  <si>
    <t>CAIXA D´ÁGUA DE POLIETILENO, CAPACIDADE DE 1.500L, INCLUSIVE TAMPA, TORNEIRA DE BOIA, EXTRAVASOR, TUBO DE LIMPEZA E ACESSÓRIOS, EXCLUSIVE TUBULAÇÃO DE ENTRADA/SAÍDA DE ÁGUA</t>
  </si>
  <si>
    <t>ED-50277</t>
  </si>
  <si>
    <t>CUBA EM AÇO INOXIDÁVEL DE EMBUTIR, AISI 304, APLICAÇÃO PARA PIA (465X330X115MM), NÚMERO 1, ASSENTAMENTO EM BANCADA, INCLUSIVE VÁLVULA DE ESCOAMENTO DE METAL COM ACABAMENTO CROMADO, SIFÃO DE METAL TIPO COPO COM ACABAMENTO CROMADO, FORNECIMENTO E INSTALAÇÃO</t>
  </si>
  <si>
    <t>9.10</t>
  </si>
  <si>
    <t>ED-50225</t>
  </si>
  <si>
    <t>PONTO DE EMBUTIR PARA ESGOTO EM TUBO PVC RÍGIDO, PBV - SÉRIE NORMAL, DN 100MM (4"), EMBUTIDO EM PISO COM DISTÂNCIA DE ATÉ CINCO (5) METROS DA RAMAL DE ESGOTO, INCLUSIVE CONEXÕES E FIXAÇÃO DO TUBO COM ENCHIMENTO DO RASGO NO CONCRETO COM ARGAMASSA</t>
  </si>
  <si>
    <t>9.11</t>
  </si>
  <si>
    <t>9.12</t>
  </si>
  <si>
    <t>9.13</t>
  </si>
  <si>
    <t>9.14</t>
  </si>
  <si>
    <t>9.15</t>
  </si>
  <si>
    <t>ED-48163</t>
  </si>
  <si>
    <t xml:space="preserve">TARJETA CROMADA, INSTALADA PORTAS DE SANITÁRIOS </t>
  </si>
  <si>
    <t>FORNECIMENTO E ASSENTAMENTO DE PORTA DE CORRER UMA (1) FOLHA, EM CHAPA GALVANIZADA LAMBRIL, MODELO ONDULADA,INCLUSIVE PERFIS PARA MARCO E PINTURA ANTICORROSIVA COM UMA (1) DEMÃO, EXCLUSIVE FECHADURA E ROLDANAS.</t>
  </si>
  <si>
    <t>FORNECIMENTO E ASSENTAMENTO DE JANELA EM FERRO, TIPO MAXIM-AR, INCLUSIVE FERRAGENS E ACESSÓRIOS</t>
  </si>
  <si>
    <t>PAVIMENTO 1</t>
  </si>
  <si>
    <t>BACIA SANITÁRIA (VASO) DE LOUÇA CONVENCIONAL, COR
BRANCA, INCLUSIVE ACESSÓRIOS DE FIXAÇÃO/VEDAÇÃO,
FORNECIMENTO, INSTALAÇÃO E REJUNTAMENTO, EXCLUSIVE
VÁLVULA DE DESCARGA E TUBO DE LIGAÇÃO</t>
  </si>
  <si>
    <t>Total Geral PAVIMENTO 1</t>
  </si>
  <si>
    <t>PAVIMENTO 2</t>
  </si>
  <si>
    <t>1.4.1</t>
  </si>
  <si>
    <t>ED-5045-2</t>
  </si>
  <si>
    <t>4.6</t>
  </si>
  <si>
    <t>4.7</t>
  </si>
  <si>
    <t>M</t>
  </si>
  <si>
    <t>8.5</t>
  </si>
  <si>
    <t>8.6</t>
  </si>
  <si>
    <t>8.7</t>
  </si>
  <si>
    <t>8.8</t>
  </si>
  <si>
    <t>8.9</t>
  </si>
  <si>
    <t>8.10</t>
  </si>
  <si>
    <t>M2</t>
  </si>
  <si>
    <t>8.11</t>
  </si>
  <si>
    <t>BARRA DE APOIO EM AÇO INOX POLIDO RETA, DN 1.1/4" (31,75MM), PARA ACESSIBILIDADE (PMR/PCR), COMPRIMENTO 40CM, INSTALADO EM PORTA/PAREDE, INCLUSIVE FORNECIMENTO, INSTALAÇÃO E ACESSÓRIOS PARA FIXAÇÃO</t>
  </si>
  <si>
    <t>Total Geral do PAVIMENTO 02</t>
  </si>
  <si>
    <t>TOTAL GERAL DA OBRA</t>
  </si>
  <si>
    <t>CONFORME PLANILHA DE PAREDES</t>
  </si>
  <si>
    <t>(3,09+3,09+3,09+3,09)</t>
  </si>
  <si>
    <t>(3,85*4)</t>
  </si>
  <si>
    <t>CONFORME PROJETO ARQUITETONICO</t>
  </si>
  <si>
    <t>((1,65*22,7)+((1,49*0,58)/2))</t>
  </si>
  <si>
    <t>(1,5*22)</t>
  </si>
  <si>
    <t>9.1.4</t>
  </si>
  <si>
    <t>MEMÓRIA DE CÁLCULO</t>
  </si>
  <si>
    <t>23*1,30</t>
  </si>
  <si>
    <t>13,12+4,4</t>
  </si>
  <si>
    <t>4,2+15,645</t>
  </si>
  <si>
    <t>48,16+4,2+15,645+11,56+93,59+93,59</t>
  </si>
  <si>
    <t>CONFORME ESTRUTURAL</t>
  </si>
  <si>
    <t>CONFORME ARQUITETONICO</t>
  </si>
  <si>
    <t>(0,6*1,4)+(0,45*0,6)</t>
  </si>
  <si>
    <t>18*1,3</t>
  </si>
  <si>
    <t>FINAL PAVIMENTO 02</t>
  </si>
  <si>
    <t>FINAL PAVIMENTO 1</t>
  </si>
  <si>
    <t>FINAL PAVIMENTO TÉRREO</t>
  </si>
  <si>
    <t>3*1,5</t>
  </si>
  <si>
    <t>CONFORME PLANTA DE DEMOLIÇÃO</t>
  </si>
  <si>
    <t>INSTALAÇÕES ELETRICAS</t>
  </si>
  <si>
    <t>LIMPEZA DE OBRA</t>
  </si>
  <si>
    <t>MÊS 4</t>
  </si>
  <si>
    <t>MÊS 5</t>
  </si>
  <si>
    <t>MÊS 6</t>
  </si>
  <si>
    <t>MÊS 7</t>
  </si>
  <si>
    <t>MÊS 8</t>
  </si>
  <si>
    <t>08 Meses</t>
  </si>
  <si>
    <t>ED-49499</t>
  </si>
  <si>
    <t>QUADRO DE DISTRIBUIÇÃO PARA 12 MÓDULOS COM BARRAMENTO E CHAVE</t>
  </si>
  <si>
    <t>DISJUNTOR BIPOLAR TERMOMAGNÉTICO 10KA, DE 40A</t>
  </si>
  <si>
    <t>ED-49243</t>
  </si>
  <si>
    <t>QUADRO DE DISTRIBUIÇÃO PARA 20 MÓDULOS COM BARRAMENTO 100 A</t>
  </si>
  <si>
    <t>ED-49500</t>
  </si>
  <si>
    <t>QUEBRA EM ALVENARIA PARA INSTALAÇÃO DE QUADRO DISTRIBUIÇÃO GRANDE (76X40 CM). AF_05/2015</t>
  </si>
  <si>
    <t>PASSEIOS DE CONCRETO E = 8 CM, FCK = 15 MPA PADRÃO PREFEITURA</t>
  </si>
  <si>
    <t>ED-51144</t>
  </si>
  <si>
    <t>RAMPA PARA ACESSO DE DEFICIENTE, EM CONCRETO SIMPLES FCK = 25 MPA, DESEMPENADA, COM PINTURA INDICATIVA, 02 DEMÃOS</t>
  </si>
  <si>
    <t>ED-51148</t>
  </si>
  <si>
    <t>ED-48474</t>
  </si>
  <si>
    <t>REMOÇÃO DE PADRÃO DA CEMIG</t>
  </si>
  <si>
    <t>(8,6*3,9)+((4*3,9)*3)+(1*3,9)+(8,33*3,9)</t>
  </si>
  <si>
    <t>10.9</t>
  </si>
  <si>
    <t>CABO DE COBRE FLEXÍVEL, CLASSE 5, ISOLAMENTO TIPO LSHF/ATOX, NÃO HALOGENADO, ANTICHAMA, TERMOPLÁSTICO, UNIPOLAR, SEÇÃO 1,5 MM2, 70°C, 450/750V</t>
  </si>
  <si>
    <t>ED-48946</t>
  </si>
  <si>
    <t>CABO DE COBRE FLEXÍVEL, CLASSE 5, ISOLAMENTO TIPO LSHF/ATOX, NÃO HALOGENADO, ANTICHAMA, TERMOPLÁSTICO, UNIPOLAR, SEÇÃO 2,5 MM2, 70°C, 450/750V</t>
  </si>
  <si>
    <t>ED-48951</t>
  </si>
  <si>
    <t>CABO DE COBRE FLEXÍVEL, CLASSE 5, ISOLAMENTO TIPO LSHF/ATOX, NÃO HALOGENADO, ANTICHAMA, TERMOPLÁSTICO, UNIPOLAR, SEÇÃO 4 MM2, 70°C, 450/750V</t>
  </si>
  <si>
    <t>ED-48956</t>
  </si>
  <si>
    <t>CABO DE COBRE FLEXÍVEL, CLASSE 5, ISOLAMENTO TIPO LSHF/ATOX, NÃO HALOGENADO, ANTICHAMA, TERMOPLÁSTICO, UNIPOLAR, SEÇÃO 6 MM2, 70°C, 450/750V</t>
  </si>
  <si>
    <t>ED-48961</t>
  </si>
  <si>
    <t>7.8</t>
  </si>
  <si>
    <t>7.9</t>
  </si>
  <si>
    <t>CONFORME CROQUI DO PROJETO ELETRICO</t>
  </si>
  <si>
    <t>LUMINÁRIA COMERCIAL CHANFRADA DE SOBREPOR COMPLETA, PARA UMA (1) LÂMPADA TUBULAR FLUORESCENTE 1X32W-ØT8, FORNECIMENTO E INSTALAÇÃO, INCLUSIVE BASE, REATOR E LÂMPADA</t>
  </si>
  <si>
    <t>ED-49391</t>
  </si>
  <si>
    <t>ESQUADRIAS</t>
  </si>
  <si>
    <t>9.2.5</t>
  </si>
  <si>
    <t>FORNECIMENTO E ASSENTAMENTO DE TUBO PVC RÍGIDO, DRENAGEM/PLUVIAL, PBV - SÉRIE NORMAL, DN 100 MM (4"), INCLUSIVE CONEXÕES</t>
  </si>
  <si>
    <t>ED-48669</t>
  </si>
  <si>
    <t>30,25+10,21</t>
  </si>
  <si>
    <t>2.1.6</t>
  </si>
  <si>
    <t>(0,5*4,1)*14</t>
  </si>
  <si>
    <t>(6,51*2,10)*3</t>
  </si>
  <si>
    <t>(0,5*3,9)*14</t>
  </si>
  <si>
    <t>7.2.3</t>
  </si>
  <si>
    <t>R.T.: Hitalo Angelo Alves de Oliveira                                                                                                                                                                                                                                                                                                   Arquiteto e Urbanista                                                                                                                                                                                                                                                                                                    CAU-MG: A168982-7</t>
  </si>
  <si>
    <t>S</t>
  </si>
  <si>
    <t>3.4</t>
  </si>
  <si>
    <t>3.5</t>
  </si>
  <si>
    <t>ESQUADRIAS E OUTROS</t>
  </si>
  <si>
    <t>RESERVA DE INCÊNDIO</t>
  </si>
  <si>
    <t xml:space="preserve">RESERVA PARA INCÊNDIO </t>
  </si>
  <si>
    <t>BARRA DE APOIO EM AÇO INOX POLIDO RETA, DN 1.1/4" (31,75MM), PARA ACESSIBILIDADE (PMR/PCR), COMPRIMENTO 80CM, INSTALADO EM PAREDE, INCLUSIVE FORNECIMENTO, INSTALAÇÃO E ACESSÓRIOS PARA FIXAÇÃO</t>
  </si>
  <si>
    <t>ED-48160</t>
  </si>
  <si>
    <t>ED-48164</t>
  </si>
  <si>
    <t>BARRA DE APOIO EM AÇO INOX POLIDO RETA, DN 1.1/4" (31,75MM), PARA ACESSIBILIDADE (PMR/PCR), COMPRIMENTO 70CM, INSTALADO EM PAREDE, INCLUSIVE FORNECIMENTO, INSTALAÇÃO E ACESSÓRIOS PARA FIXAÇÃO</t>
  </si>
  <si>
    <t>PONTO DE EMBUTIR PARA ESGOTO EM TUBO PVC RÍGIDO, PBV -  SÉRIE NORMAL, DN 100MM (4"), EMBUTIDO EM PISO COM 
DISTÂNCIA DE ATÉ CINCO (5) METROS DA RAMAL DE ESGOTO, 
INCLUSIVE CONEXÕES E FIXAÇÃO DO TUBO COM ENCHIMENTO DO RASGO NO CONCRETO COM ARGAMASSA</t>
  </si>
  <si>
    <t>DATA: 30/07/2021</t>
  </si>
  <si>
    <t>9.2.1</t>
  </si>
  <si>
    <t>14.1</t>
  </si>
  <si>
    <t>5.7</t>
  </si>
  <si>
    <t>7.2.2</t>
  </si>
  <si>
    <t>7.3.1</t>
  </si>
  <si>
    <t>7.3.2</t>
  </si>
  <si>
    <t>7.3.3</t>
  </si>
  <si>
    <t>7.3.4</t>
  </si>
  <si>
    <t>7.3.5</t>
  </si>
  <si>
    <t>6.5</t>
  </si>
  <si>
    <t>6.6</t>
  </si>
  <si>
    <t>6.7</t>
  </si>
  <si>
    <t>6.8</t>
  </si>
  <si>
    <t>6.9</t>
  </si>
  <si>
    <t>7.10</t>
  </si>
  <si>
    <t>7.11</t>
  </si>
  <si>
    <t>7.12</t>
  </si>
  <si>
    <t>7.13</t>
  </si>
  <si>
    <t>7.14</t>
  </si>
  <si>
    <t>7.15</t>
  </si>
  <si>
    <t>ESTQUADRIAS</t>
  </si>
  <si>
    <t xml:space="preserve">
          PREFEITURA DE PERDIGÃO – 2021/2024
Av. Santa Rita, 150 – Centro - Perdigão/MG - CEP: 35.545-000                                                               CNPJ – 18.301.051/0001-19 
Tel/Fax: (37) 3287-1030 e-mail: prefeituradeperdigaogabinete@gmail.com
</t>
  </si>
  <si>
    <t xml:space="preserve">
       PREFEITURA DE PERDIGÃO – 2021/2024
Av. Santa Rita, 150 – Centro - Perdigão/MG - CEP: 35.545-000   CNPJ – 18.301.051/0001-19 
Tel/ Fax: (37) 3287-1030 e-mail: prefeituradeperdigaogabinete@gmail.com
</t>
  </si>
</sst>
</file>

<file path=xl/styles.xml><?xml version="1.0" encoding="utf-8"?>
<styleSheet xmlns="http://schemas.openxmlformats.org/spreadsheetml/2006/main">
  <numFmts count="3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_(* #,##0.00_);_(* \(#,##0.00\);_(* \-??_);_(@_)"/>
    <numFmt numFmtId="171" formatCode="&quot;R$ &quot;#,##0.00"/>
    <numFmt numFmtId="172" formatCode="0.0"/>
    <numFmt numFmtId="173" formatCode="_(&quot;R$&quot;* #,##0.00_);_(&quot;R$&quot;* \(#,##0.00\);_(&quot;R$&quot;* \-??_);_(@_)"/>
    <numFmt numFmtId="174" formatCode="&quot;Sim&quot;;&quot;Sim&quot;;&quot;Não&quot;"/>
    <numFmt numFmtId="175" formatCode="&quot;Verdadeiro&quot;;&quot;Verdadeiro&quot;;&quot;Falso&quot;"/>
    <numFmt numFmtId="176" formatCode="&quot;Ativado&quot;;&quot;Ativado&quot;;&quot;Desativado&quot;"/>
    <numFmt numFmtId="177" formatCode="[$€-2]\ #,##0.00_);[Red]\([$€-2]\ #,##0.00\)"/>
    <numFmt numFmtId="178" formatCode="[$-416]dddd\,\ d&quot; de &quot;mmmm&quot; de &quot;yyyy"/>
    <numFmt numFmtId="179" formatCode="0.0000"/>
    <numFmt numFmtId="180" formatCode="0.00000"/>
    <numFmt numFmtId="181" formatCode="0.000000"/>
    <numFmt numFmtId="182" formatCode="0.000"/>
    <numFmt numFmtId="183" formatCode="0.0000000000"/>
    <numFmt numFmtId="184" formatCode="0.000000000"/>
    <numFmt numFmtId="185" formatCode="0.00000000"/>
    <numFmt numFmtId="186" formatCode="0.0000000"/>
  </numFmts>
  <fonts count="59">
    <font>
      <sz val="10"/>
      <name val="Arial"/>
      <family val="0"/>
    </font>
    <font>
      <sz val="11"/>
      <color indexed="8"/>
      <name val="Calibri"/>
      <family val="2"/>
    </font>
    <font>
      <sz val="8"/>
      <name val="Arial"/>
      <family val="2"/>
    </font>
    <font>
      <b/>
      <sz val="12"/>
      <name val="Arial"/>
      <family val="2"/>
    </font>
    <font>
      <b/>
      <sz val="14"/>
      <name val="Arial"/>
      <family val="2"/>
    </font>
    <font>
      <b/>
      <sz val="10"/>
      <name val="Arial"/>
      <family val="2"/>
    </font>
    <font>
      <b/>
      <sz val="11"/>
      <name val="Arial"/>
      <family val="2"/>
    </font>
    <font>
      <sz val="8"/>
      <color indexed="12"/>
      <name val="Arial"/>
      <family val="2"/>
    </font>
    <font>
      <b/>
      <sz val="8"/>
      <name val="Arial"/>
      <family val="2"/>
    </font>
    <font>
      <sz val="8"/>
      <color indexed="10"/>
      <name val="Arial"/>
      <family val="2"/>
    </font>
    <font>
      <sz val="10"/>
      <color indexed="10"/>
      <name val="Arial"/>
      <family val="2"/>
    </font>
    <font>
      <sz val="9"/>
      <name val="Arial"/>
      <family val="2"/>
    </font>
    <font>
      <sz val="9"/>
      <color indexed="8"/>
      <name val="Arial"/>
      <family val="2"/>
    </font>
    <font>
      <b/>
      <sz val="9"/>
      <color indexed="8"/>
      <name val="Arial"/>
      <family val="2"/>
    </font>
    <font>
      <b/>
      <sz val="9"/>
      <name val="Arial"/>
      <family val="2"/>
    </font>
    <font>
      <sz val="10"/>
      <name val="CenturyGothic"/>
      <family val="2"/>
    </font>
    <font>
      <b/>
      <sz val="18"/>
      <name val="Arial"/>
      <family val="2"/>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0"/>
      <color indexed="8"/>
      <name val="Arial"/>
      <family val="2"/>
    </font>
    <font>
      <sz val="10"/>
      <color indexed="8"/>
      <name val="CenturyGothic"/>
      <family val="0"/>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0"/>
      <color rgb="FF000000"/>
      <name val="CenturyGothic"/>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31"/>
        <bgColor indexed="64"/>
      </patternFill>
    </fill>
    <fill>
      <patternFill patternType="solid">
        <fgColor theme="0"/>
        <bgColor indexed="64"/>
      </patternFill>
    </fill>
    <fill>
      <patternFill patternType="solid">
        <fgColor rgb="FFFCE4D6"/>
        <bgColor indexed="64"/>
      </patternFill>
    </fill>
    <fill>
      <patternFill patternType="solid">
        <fgColor rgb="FFF8CBAD"/>
        <bgColor indexed="64"/>
      </patternFill>
    </fill>
    <fill>
      <patternFill patternType="solid">
        <fgColor rgb="FFDDEBF7"/>
        <bgColor indexed="64"/>
      </patternFill>
    </fill>
    <fill>
      <patternFill patternType="solid">
        <fgColor rgb="FFC6E0B4"/>
        <bgColor indexed="64"/>
      </patternFill>
    </fill>
    <fill>
      <patternFill patternType="solid">
        <fgColor rgb="FFF4B084"/>
        <bgColor indexed="64"/>
      </patternFill>
    </fill>
    <fill>
      <patternFill patternType="solid">
        <fgColor rgb="FFFFFF00"/>
        <bgColor indexed="64"/>
      </patternFill>
    </fill>
    <fill>
      <patternFill patternType="solid">
        <fgColor rgb="FFA9D08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24997000396251678"/>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color indexed="8"/>
      </right>
      <top style="thin">
        <color indexed="8"/>
      </top>
      <bottom style="thin">
        <color indexed="8"/>
      </bottom>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medium"/>
      <top style="thin"/>
      <bottom style="thin">
        <color indexed="8"/>
      </bottom>
    </border>
    <border>
      <left>
        <color indexed="63"/>
      </left>
      <right style="medium"/>
      <top style="medium"/>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right>
        <color indexed="63"/>
      </right>
      <top style="thin"/>
      <bottom style="thin"/>
    </border>
    <border>
      <left style="thin"/>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medium"/>
      <bottom style="medium"/>
    </border>
    <border>
      <left style="medium">
        <color indexed="8"/>
      </left>
      <right>
        <color indexed="63"/>
      </right>
      <top style="medium"/>
      <bottom style="medium"/>
    </border>
    <border>
      <left style="thin"/>
      <right style="medium"/>
      <top>
        <color indexed="63"/>
      </top>
      <bottom style="thin"/>
    </border>
    <border>
      <left>
        <color indexed="63"/>
      </left>
      <right style="medium">
        <color indexed="8"/>
      </right>
      <top style="medium"/>
      <bottom>
        <color indexed="63"/>
      </bottom>
    </border>
    <border>
      <left style="medium">
        <color indexed="8"/>
      </left>
      <right>
        <color indexed="63"/>
      </right>
      <top style="medium"/>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top style="medium">
        <color indexed="8"/>
      </top>
      <bottom style="medium">
        <color indexed="8"/>
      </bottom>
    </border>
    <border>
      <left style="medium"/>
      <right style="thin"/>
      <top>
        <color indexed="63"/>
      </top>
      <bottom style="thin"/>
    </border>
    <border>
      <left style="medium"/>
      <right>
        <color indexed="63"/>
      </right>
      <top>
        <color indexed="63"/>
      </top>
      <bottom style="medium">
        <color indexed="8"/>
      </bottom>
    </border>
    <border>
      <left>
        <color indexed="63"/>
      </left>
      <right style="medium"/>
      <top>
        <color indexed="63"/>
      </top>
      <bottom style="medium">
        <color indexed="8"/>
      </bottom>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thin">
        <color indexed="8"/>
      </left>
      <right style="thin">
        <color indexed="8"/>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173" fontId="0" fillId="0" borderId="0" applyFill="0" applyBorder="0" applyAlignment="0" applyProtection="0"/>
    <xf numFmtId="168" fontId="0" fillId="0" borderId="0" applyFill="0" applyBorder="0" applyAlignment="0" applyProtection="0"/>
    <xf numFmtId="173" fontId="0" fillId="0" borderId="0" applyFill="0" applyBorder="0" applyAlignment="0" applyProtection="0"/>
    <xf numFmtId="0" fontId="47" fillId="31" borderId="0" applyNumberFormat="0" applyBorder="0" applyAlignment="0" applyProtection="0"/>
    <xf numFmtId="0" fontId="0"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8" fillId="21" borderId="5" applyNumberFormat="0" applyAlignment="0" applyProtection="0"/>
    <xf numFmtId="41"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43" fontId="0" fillId="0" borderId="0" applyFill="0" applyBorder="0" applyAlignment="0" applyProtection="0"/>
    <xf numFmtId="170" fontId="0" fillId="0" borderId="0" applyFill="0" applyBorder="0" applyAlignment="0" applyProtection="0"/>
  </cellStyleXfs>
  <cellXfs count="1227">
    <xf numFmtId="0" fontId="0" fillId="0" borderId="0" xfId="0" applyAlignment="1">
      <alignment/>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xf>
    <xf numFmtId="2" fontId="2" fillId="0" borderId="0" xfId="0" applyNumberFormat="1" applyFont="1" applyBorder="1" applyAlignment="1">
      <alignment horizontal="center"/>
    </xf>
    <xf numFmtId="0" fontId="7" fillId="0" borderId="0" xfId="0" applyFont="1" applyBorder="1" applyAlignment="1">
      <alignment horizontal="left"/>
    </xf>
    <xf numFmtId="0" fontId="2" fillId="33" borderId="0" xfId="0" applyFont="1" applyFill="1" applyBorder="1" applyAlignment="1">
      <alignment horizontal="left"/>
    </xf>
    <xf numFmtId="0" fontId="0" fillId="0" borderId="10" xfId="0"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center" vertical="center" wrapText="1"/>
    </xf>
    <xf numFmtId="0" fontId="0" fillId="0" borderId="0" xfId="0" applyFont="1" applyBorder="1" applyAlignment="1">
      <alignment horizontal="center"/>
    </xf>
    <xf numFmtId="14" fontId="0" fillId="0" borderId="11" xfId="0" applyNumberFormat="1" applyFont="1" applyBorder="1" applyAlignment="1">
      <alignment vertical="center" wrapText="1"/>
    </xf>
    <xf numFmtId="0" fontId="0" fillId="0" borderId="12" xfId="0" applyFont="1" applyBorder="1" applyAlignment="1">
      <alignment horizontal="left" vertical="center" wrapText="1"/>
    </xf>
    <xf numFmtId="10" fontId="0" fillId="0" borderId="13" xfId="0" applyNumberFormat="1" applyFont="1" applyFill="1" applyBorder="1" applyAlignment="1">
      <alignment vertical="center" wrapText="1"/>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8" xfId="0" applyFont="1" applyBorder="1" applyAlignment="1">
      <alignment horizontal="center" vertical="center"/>
    </xf>
    <xf numFmtId="10" fontId="0" fillId="0" borderId="19" xfId="53" applyNumberFormat="1" applyFont="1" applyFill="1" applyBorder="1" applyAlignment="1" applyProtection="1">
      <alignment horizontal="center" vertical="center"/>
      <protection/>
    </xf>
    <xf numFmtId="0" fontId="0" fillId="0" borderId="10" xfId="0" applyFont="1" applyFill="1" applyBorder="1" applyAlignment="1">
      <alignment horizontal="center" vertical="center"/>
    </xf>
    <xf numFmtId="10" fontId="0" fillId="0" borderId="11" xfId="53" applyNumberFormat="1" applyFont="1" applyFill="1" applyBorder="1" applyAlignment="1" applyProtection="1">
      <alignment horizontal="center" vertical="center"/>
      <protection/>
    </xf>
    <xf numFmtId="0" fontId="0" fillId="0" borderId="10" xfId="0" applyFont="1" applyBorder="1" applyAlignment="1">
      <alignment horizontal="center" vertical="center"/>
    </xf>
    <xf numFmtId="0" fontId="0" fillId="34" borderId="10" xfId="0" applyFont="1" applyFill="1" applyBorder="1" applyAlignment="1">
      <alignment horizontal="center" vertical="center"/>
    </xf>
    <xf numFmtId="10" fontId="0" fillId="34" borderId="11" xfId="53" applyNumberFormat="1" applyFont="1" applyFill="1" applyBorder="1" applyAlignment="1" applyProtection="1">
      <alignment horizontal="center" vertical="center"/>
      <protection/>
    </xf>
    <xf numFmtId="0" fontId="0" fillId="0" borderId="0" xfId="0" applyFont="1" applyBorder="1" applyAlignment="1">
      <alignment/>
    </xf>
    <xf numFmtId="0" fontId="0" fillId="0" borderId="15" xfId="0" applyBorder="1" applyAlignment="1">
      <alignment/>
    </xf>
    <xf numFmtId="0" fontId="0" fillId="0" borderId="14" xfId="0" applyBorder="1" applyAlignment="1">
      <alignment/>
    </xf>
    <xf numFmtId="0" fontId="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0" xfId="0" applyFont="1" applyFill="1" applyBorder="1" applyAlignment="1">
      <alignment horizontal="left"/>
    </xf>
    <xf numFmtId="171" fontId="2" fillId="0" borderId="0" xfId="0" applyNumberFormat="1" applyFont="1" applyFill="1" applyBorder="1" applyAlignment="1">
      <alignment horizontal="left"/>
    </xf>
    <xf numFmtId="0" fontId="7" fillId="0" borderId="0" xfId="0" applyFont="1" applyFill="1" applyBorder="1" applyAlignment="1">
      <alignment horizontal="left"/>
    </xf>
    <xf numFmtId="4" fontId="2" fillId="0" borderId="0" xfId="0" applyNumberFormat="1" applyFont="1" applyFill="1" applyBorder="1" applyAlignment="1">
      <alignment horizontal="left"/>
    </xf>
    <xf numFmtId="2" fontId="2" fillId="0" borderId="0" xfId="0" applyNumberFormat="1" applyFont="1" applyFill="1" applyBorder="1" applyAlignment="1">
      <alignment horizontal="center" vertical="center"/>
    </xf>
    <xf numFmtId="171" fontId="2" fillId="0" borderId="0" xfId="0" applyNumberFormat="1" applyFont="1" applyFill="1" applyBorder="1" applyAlignment="1">
      <alignment horizontal="right" vertical="center"/>
    </xf>
    <xf numFmtId="2" fontId="2" fillId="0" borderId="0" xfId="0" applyNumberFormat="1" applyFont="1" applyFill="1" applyBorder="1" applyAlignment="1">
      <alignment horizontal="left"/>
    </xf>
    <xf numFmtId="0" fontId="9" fillId="0" borderId="0" xfId="0" applyFont="1" applyFill="1" applyBorder="1" applyAlignment="1">
      <alignment horizontal="left"/>
    </xf>
    <xf numFmtId="0" fontId="2" fillId="0" borderId="0" xfId="0" applyFont="1" applyFill="1" applyBorder="1" applyAlignment="1">
      <alignment horizontal="center" vertical="center"/>
    </xf>
    <xf numFmtId="0" fontId="5" fillId="0" borderId="24" xfId="0" applyFont="1" applyFill="1" applyBorder="1" applyAlignment="1" applyProtection="1">
      <alignment vertical="center" wrapText="1"/>
      <protection hidden="1" locked="0"/>
    </xf>
    <xf numFmtId="0" fontId="5" fillId="0" borderId="25" xfId="0" applyFont="1" applyFill="1" applyBorder="1" applyAlignment="1" applyProtection="1">
      <alignment horizontal="center" vertical="center" wrapText="1"/>
      <protection hidden="1" locked="0"/>
    </xf>
    <xf numFmtId="14" fontId="5" fillId="0" borderId="26" xfId="0" applyNumberFormat="1" applyFont="1" applyFill="1" applyBorder="1" applyAlignment="1" applyProtection="1">
      <alignment vertical="center" wrapText="1"/>
      <protection hidden="1" locked="0"/>
    </xf>
    <xf numFmtId="0" fontId="5" fillId="0" borderId="27" xfId="0" applyFont="1" applyFill="1" applyBorder="1" applyAlignment="1" applyProtection="1">
      <alignment vertical="center" wrapText="1"/>
      <protection hidden="1" locked="0"/>
    </xf>
    <xf numFmtId="0" fontId="5" fillId="0" borderId="28" xfId="0" applyFont="1" applyFill="1" applyBorder="1" applyAlignment="1" applyProtection="1">
      <alignment horizontal="center" vertical="center" wrapText="1"/>
      <protection hidden="1" locked="0"/>
    </xf>
    <xf numFmtId="10" fontId="5" fillId="0" borderId="29" xfId="0" applyNumberFormat="1" applyFont="1" applyFill="1" applyBorder="1" applyAlignment="1" applyProtection="1">
      <alignment vertical="center" wrapText="1"/>
      <protection hidden="1" locked="0"/>
    </xf>
    <xf numFmtId="171" fontId="2" fillId="0" borderId="0" xfId="0" applyNumberFormat="1" applyFont="1" applyFill="1" applyBorder="1" applyAlignment="1">
      <alignment horizontal="center" vertical="center"/>
    </xf>
    <xf numFmtId="0" fontId="0" fillId="0" borderId="0" xfId="50">
      <alignment/>
      <protection/>
    </xf>
    <xf numFmtId="0" fontId="2" fillId="0" borderId="0" xfId="50" applyFont="1" applyFill="1" applyBorder="1" applyAlignment="1">
      <alignment horizontal="left"/>
      <protection/>
    </xf>
    <xf numFmtId="171" fontId="2" fillId="0" borderId="0" xfId="50" applyNumberFormat="1" applyFont="1" applyFill="1" applyBorder="1" applyAlignment="1">
      <alignment horizontal="right" vertical="center"/>
      <protection/>
    </xf>
    <xf numFmtId="0" fontId="0" fillId="0" borderId="0" xfId="50" applyFont="1" applyFill="1" applyBorder="1" applyAlignment="1">
      <alignment horizontal="center" vertical="center" wrapText="1"/>
      <protection/>
    </xf>
    <xf numFmtId="0" fontId="5" fillId="0" borderId="0" xfId="50" applyFont="1" applyFill="1" applyBorder="1" applyAlignment="1">
      <alignment horizontal="center" vertical="center" wrapText="1"/>
      <protection/>
    </xf>
    <xf numFmtId="0" fontId="2" fillId="0" borderId="0" xfId="50" applyFont="1" applyFill="1" applyBorder="1" applyAlignment="1">
      <alignment horizontal="center"/>
      <protection/>
    </xf>
    <xf numFmtId="0" fontId="0" fillId="0" borderId="0" xfId="50" applyFont="1" applyFill="1" applyBorder="1" applyAlignment="1">
      <alignment horizontal="center" vertical="center"/>
      <protection/>
    </xf>
    <xf numFmtId="0" fontId="0" fillId="0" borderId="0" xfId="50" applyFont="1" applyFill="1" applyBorder="1" applyAlignment="1">
      <alignment horizontal="center"/>
      <protection/>
    </xf>
    <xf numFmtId="0" fontId="5" fillId="0" borderId="0" xfId="50" applyFont="1" applyFill="1" applyBorder="1" applyAlignment="1">
      <alignment/>
      <protection/>
    </xf>
    <xf numFmtId="0" fontId="2" fillId="0" borderId="0" xfId="50" applyFont="1" applyFill="1" applyBorder="1" applyAlignment="1">
      <alignment horizontal="center" vertical="center"/>
      <protection/>
    </xf>
    <xf numFmtId="2" fontId="2" fillId="0" borderId="0" xfId="50" applyNumberFormat="1" applyFont="1" applyFill="1" applyBorder="1" applyAlignment="1">
      <alignment horizontal="center"/>
      <protection/>
    </xf>
    <xf numFmtId="0" fontId="5" fillId="0" borderId="30" xfId="50" applyFont="1" applyFill="1" applyBorder="1" applyAlignment="1">
      <alignment horizontal="center" vertical="center" wrapText="1"/>
      <protection/>
    </xf>
    <xf numFmtId="0" fontId="5" fillId="0" borderId="31" xfId="50" applyFont="1" applyFill="1" applyBorder="1" applyAlignment="1">
      <alignment horizontal="center" vertical="center" wrapText="1"/>
      <protection/>
    </xf>
    <xf numFmtId="0" fontId="2" fillId="0" borderId="30" xfId="50" applyFont="1" applyFill="1" applyBorder="1" applyAlignment="1">
      <alignment horizontal="center"/>
      <protection/>
    </xf>
    <xf numFmtId="4" fontId="2" fillId="0" borderId="31" xfId="50" applyNumberFormat="1" applyFont="1" applyFill="1" applyBorder="1" applyAlignment="1">
      <alignment horizontal="center"/>
      <protection/>
    </xf>
    <xf numFmtId="0" fontId="0" fillId="0" borderId="30" xfId="50" applyFont="1" applyFill="1" applyBorder="1" applyAlignment="1">
      <alignment horizontal="center"/>
      <protection/>
    </xf>
    <xf numFmtId="4" fontId="0" fillId="0" borderId="31" xfId="50" applyNumberFormat="1" applyFont="1" applyFill="1" applyBorder="1" applyAlignment="1">
      <alignment horizontal="center"/>
      <protection/>
    </xf>
    <xf numFmtId="0" fontId="5" fillId="0" borderId="30" xfId="50" applyFont="1" applyFill="1" applyBorder="1" applyAlignment="1">
      <alignment/>
      <protection/>
    </xf>
    <xf numFmtId="0" fontId="5" fillId="0" borderId="0" xfId="50" applyFont="1" applyFill="1" applyBorder="1" applyAlignment="1">
      <alignment horizontal="center" vertical="center"/>
      <protection/>
    </xf>
    <xf numFmtId="0" fontId="0" fillId="0" borderId="32" xfId="50" applyFont="1" applyFill="1" applyBorder="1" applyAlignment="1">
      <alignment horizontal="center"/>
      <protection/>
    </xf>
    <xf numFmtId="0" fontId="0" fillId="0" borderId="33" xfId="50" applyFont="1" applyFill="1" applyBorder="1" applyAlignment="1">
      <alignment horizontal="center"/>
      <protection/>
    </xf>
    <xf numFmtId="0" fontId="0" fillId="0" borderId="34" xfId="50" applyFont="1" applyFill="1" applyBorder="1" applyAlignment="1">
      <alignment horizontal="center"/>
      <protection/>
    </xf>
    <xf numFmtId="2" fontId="5" fillId="0" borderId="0" xfId="50" applyNumberFormat="1" applyFont="1" applyFill="1" applyBorder="1" applyAlignment="1">
      <alignment horizontal="center"/>
      <protection/>
    </xf>
    <xf numFmtId="0" fontId="5" fillId="0" borderId="0" xfId="50" applyFont="1" applyFill="1" applyBorder="1" applyAlignment="1">
      <alignment horizontal="center"/>
      <protection/>
    </xf>
    <xf numFmtId="0" fontId="2" fillId="35" borderId="0" xfId="50" applyFont="1" applyFill="1" applyBorder="1" applyAlignment="1">
      <alignment horizontal="left"/>
      <protection/>
    </xf>
    <xf numFmtId="171" fontId="2" fillId="35" borderId="0" xfId="50" applyNumberFormat="1" applyFont="1" applyFill="1" applyBorder="1" applyAlignment="1">
      <alignment horizontal="right" vertical="center"/>
      <protection/>
    </xf>
    <xf numFmtId="0" fontId="2" fillId="35" borderId="0" xfId="0" applyFont="1" applyFill="1" applyBorder="1" applyAlignment="1">
      <alignment horizontal="left"/>
    </xf>
    <xf numFmtId="171" fontId="2" fillId="35" borderId="0" xfId="0" applyNumberFormat="1" applyFont="1" applyFill="1" applyBorder="1" applyAlignment="1">
      <alignment horizontal="right" vertical="center"/>
    </xf>
    <xf numFmtId="0" fontId="5" fillId="15" borderId="35" xfId="0" applyFont="1" applyFill="1" applyBorder="1" applyAlignment="1">
      <alignment horizontal="center" vertical="center" wrapText="1"/>
    </xf>
    <xf numFmtId="0" fontId="5" fillId="15" borderId="36" xfId="0" applyFont="1" applyFill="1" applyBorder="1" applyAlignment="1">
      <alignment horizontal="center" vertical="center"/>
    </xf>
    <xf numFmtId="0" fontId="0" fillId="15" borderId="36" xfId="0" applyFont="1" applyFill="1" applyBorder="1" applyAlignment="1">
      <alignment horizontal="center" vertical="center" wrapText="1"/>
    </xf>
    <xf numFmtId="0" fontId="5" fillId="15" borderId="36" xfId="0" applyFont="1" applyFill="1" applyBorder="1" applyAlignment="1">
      <alignment horizontal="center" vertical="center" wrapText="1"/>
    </xf>
    <xf numFmtId="2" fontId="5" fillId="15" borderId="36" xfId="0" applyNumberFormat="1" applyFont="1" applyFill="1" applyBorder="1" applyAlignment="1">
      <alignment horizontal="center" vertical="center" wrapText="1"/>
    </xf>
    <xf numFmtId="2" fontId="0" fillId="3" borderId="36" xfId="0" applyNumberFormat="1" applyFont="1" applyFill="1" applyBorder="1" applyAlignment="1">
      <alignment horizontal="center" vertical="center" wrapText="1"/>
    </xf>
    <xf numFmtId="0" fontId="0" fillId="9" borderId="36" xfId="50" applyFont="1" applyFill="1" applyBorder="1" applyAlignment="1">
      <alignment horizontal="center" vertical="center"/>
      <protection/>
    </xf>
    <xf numFmtId="0" fontId="0" fillId="9" borderId="36" xfId="50" applyFont="1" applyFill="1" applyBorder="1" applyAlignment="1">
      <alignment horizontal="center" vertical="center" wrapText="1"/>
      <protection/>
    </xf>
    <xf numFmtId="0" fontId="0" fillId="9" borderId="36" xfId="0" applyFont="1" applyFill="1" applyBorder="1" applyAlignment="1">
      <alignment horizontal="center" vertical="center"/>
    </xf>
    <xf numFmtId="0" fontId="0" fillId="3" borderId="36" xfId="0" applyFont="1" applyFill="1" applyBorder="1" applyAlignment="1">
      <alignment horizontal="center" vertical="center"/>
    </xf>
    <xf numFmtId="2" fontId="0" fillId="2" borderId="36" xfId="0" applyNumberFormat="1"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9" borderId="35" xfId="50" applyFont="1" applyFill="1" applyBorder="1" applyAlignment="1">
      <alignment horizontal="center" vertical="center" wrapText="1"/>
      <protection/>
    </xf>
    <xf numFmtId="0" fontId="5" fillId="9" borderId="36" xfId="50" applyFont="1" applyFill="1" applyBorder="1" applyAlignment="1">
      <alignment horizontal="center" vertical="center"/>
      <protection/>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xf>
    <xf numFmtId="0" fontId="2" fillId="3" borderId="36" xfId="0" applyFont="1" applyFill="1" applyBorder="1" applyAlignment="1">
      <alignment horizontal="center" vertical="center" wrapText="1"/>
    </xf>
    <xf numFmtId="0" fontId="8" fillId="3" borderId="36" xfId="0" applyFont="1" applyFill="1" applyBorder="1" applyAlignment="1">
      <alignment horizontal="center" vertical="center" wrapText="1"/>
    </xf>
    <xf numFmtId="2" fontId="8" fillId="3" borderId="36" xfId="0" applyNumberFormat="1"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36" xfId="0" applyFont="1" applyFill="1" applyBorder="1" applyAlignment="1">
      <alignment vertical="center" wrapText="1"/>
    </xf>
    <xf numFmtId="172" fontId="0" fillId="3" borderId="36" xfId="0" applyNumberFormat="1" applyFont="1" applyFill="1" applyBorder="1" applyAlignment="1">
      <alignment horizontal="center" vertical="center"/>
    </xf>
    <xf numFmtId="172" fontId="0" fillId="3" borderId="36" xfId="0" applyNumberFormat="1" applyFont="1" applyFill="1" applyBorder="1" applyAlignment="1">
      <alignment horizontal="center" vertical="center" wrapText="1"/>
    </xf>
    <xf numFmtId="49" fontId="0" fillId="3" borderId="36" xfId="0" applyNumberFormat="1" applyFont="1" applyFill="1" applyBorder="1" applyAlignment="1">
      <alignment horizontal="left" vertical="center" wrapText="1"/>
    </xf>
    <xf numFmtId="1" fontId="0" fillId="3" borderId="36" xfId="0" applyNumberFormat="1"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36" xfId="0" applyFont="1" applyFill="1" applyBorder="1" applyAlignment="1">
      <alignment wrapText="1"/>
    </xf>
    <xf numFmtId="0" fontId="0" fillId="3" borderId="36" xfId="0" applyFont="1" applyFill="1" applyBorder="1" applyAlignment="1">
      <alignment vertical="center" wrapText="1"/>
    </xf>
    <xf numFmtId="0" fontId="0" fillId="3" borderId="36" xfId="0" applyFont="1" applyFill="1" applyBorder="1" applyAlignment="1">
      <alignment horizontal="left" vertical="center" wrapText="1"/>
    </xf>
    <xf numFmtId="0" fontId="5" fillId="9" borderId="35" xfId="0" applyFont="1" applyFill="1" applyBorder="1" applyAlignment="1">
      <alignment horizontal="center" vertical="center" wrapText="1"/>
    </xf>
    <xf numFmtId="0" fontId="5" fillId="9" borderId="36" xfId="0" applyFont="1" applyFill="1" applyBorder="1" applyAlignment="1">
      <alignment horizontal="center" vertical="center"/>
    </xf>
    <xf numFmtId="0" fontId="0" fillId="9" borderId="36" xfId="0" applyFont="1" applyFill="1" applyBorder="1" applyAlignment="1">
      <alignment horizontal="center" vertical="center" wrapText="1"/>
    </xf>
    <xf numFmtId="1" fontId="5" fillId="9" borderId="35" xfId="0" applyNumberFormat="1" applyFont="1" applyFill="1" applyBorder="1" applyAlignment="1">
      <alignment horizontal="center" vertical="center" wrapText="1"/>
    </xf>
    <xf numFmtId="1" fontId="5" fillId="9" borderId="36" xfId="0" applyNumberFormat="1" applyFont="1" applyFill="1" applyBorder="1" applyAlignment="1">
      <alignment horizontal="center" vertical="center"/>
    </xf>
    <xf numFmtId="1" fontId="0" fillId="9" borderId="36"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3" fillId="0" borderId="37" xfId="50" applyFont="1" applyFill="1" applyBorder="1" applyAlignment="1">
      <alignment horizontal="center" vertical="center" wrapText="1"/>
      <protection/>
    </xf>
    <xf numFmtId="171" fontId="3" fillId="0" borderId="37" xfId="50" applyNumberFormat="1" applyFont="1" applyFill="1" applyBorder="1" applyAlignment="1">
      <alignment horizontal="center" vertical="center" wrapText="1"/>
      <protection/>
    </xf>
    <xf numFmtId="0" fontId="5" fillId="14" borderId="35" xfId="0" applyFont="1" applyFill="1" applyBorder="1" applyAlignment="1">
      <alignment horizontal="center" vertical="center" wrapText="1"/>
    </xf>
    <xf numFmtId="0" fontId="5" fillId="14" borderId="36" xfId="0" applyFont="1" applyFill="1" applyBorder="1" applyAlignment="1">
      <alignment horizontal="center" vertical="center"/>
    </xf>
    <xf numFmtId="0" fontId="0" fillId="14" borderId="36" xfId="0" applyFont="1" applyFill="1" applyBorder="1" applyAlignment="1">
      <alignment horizontal="center" vertical="center" wrapText="1"/>
    </xf>
    <xf numFmtId="2" fontId="5" fillId="14" borderId="36" xfId="0" applyNumberFormat="1"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36" xfId="0" applyFont="1" applyFill="1" applyBorder="1" applyAlignment="1">
      <alignment horizontal="center" vertical="center"/>
    </xf>
    <xf numFmtId="0" fontId="0" fillId="8" borderId="36" xfId="0" applyFont="1" applyFill="1" applyBorder="1" applyAlignment="1">
      <alignment horizontal="center" vertical="center" wrapText="1"/>
    </xf>
    <xf numFmtId="1" fontId="5" fillId="8" borderId="35" xfId="0" applyNumberFormat="1" applyFont="1" applyFill="1" applyBorder="1" applyAlignment="1">
      <alignment horizontal="center" vertical="center" wrapText="1"/>
    </xf>
    <xf numFmtId="1" fontId="5" fillId="8" borderId="36" xfId="0" applyNumberFormat="1" applyFont="1" applyFill="1" applyBorder="1" applyAlignment="1">
      <alignment horizontal="center" vertical="center"/>
    </xf>
    <xf numFmtId="1" fontId="0" fillId="8" borderId="36" xfId="0" applyNumberFormat="1" applyFont="1" applyFill="1" applyBorder="1" applyAlignment="1">
      <alignment horizontal="center" vertical="center" wrapText="1"/>
    </xf>
    <xf numFmtId="0" fontId="0" fillId="8" borderId="36" xfId="0" applyFont="1" applyFill="1" applyBorder="1" applyAlignment="1">
      <alignment horizontal="center" vertical="center"/>
    </xf>
    <xf numFmtId="1" fontId="0" fillId="2" borderId="35" xfId="0" applyNumberFormat="1" applyFont="1" applyFill="1" applyBorder="1" applyAlignment="1">
      <alignment horizontal="center" vertical="center" wrapText="1"/>
    </xf>
    <xf numFmtId="1" fontId="0" fillId="2" borderId="36" xfId="0" applyNumberFormat="1" applyFont="1" applyFill="1" applyBorder="1" applyAlignment="1">
      <alignment horizontal="center" vertical="center"/>
    </xf>
    <xf numFmtId="1" fontId="0" fillId="2" borderId="36" xfId="0" applyNumberFormat="1" applyFont="1" applyFill="1" applyBorder="1" applyAlignment="1">
      <alignment horizontal="center" vertical="center" wrapText="1"/>
    </xf>
    <xf numFmtId="0" fontId="0" fillId="2" borderId="36" xfId="0" applyFont="1" applyFill="1" applyBorder="1" applyAlignment="1">
      <alignment wrapText="1"/>
    </xf>
    <xf numFmtId="1" fontId="0" fillId="2" borderId="36" xfId="0" applyNumberFormat="1" applyFont="1" applyFill="1" applyBorder="1" applyAlignment="1">
      <alignment horizontal="left" vertical="center" wrapText="1"/>
    </xf>
    <xf numFmtId="0" fontId="0" fillId="2" borderId="36" xfId="0"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36" xfId="0" applyFont="1" applyFill="1" applyBorder="1" applyAlignment="1">
      <alignment wrapText="1"/>
    </xf>
    <xf numFmtId="0" fontId="0" fillId="2" borderId="36" xfId="0" applyFont="1" applyFill="1" applyBorder="1" applyAlignment="1">
      <alignment horizontal="center" vertical="center" wrapText="1"/>
    </xf>
    <xf numFmtId="0" fontId="0" fillId="2" borderId="3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2" borderId="36" xfId="0" applyFill="1" applyBorder="1" applyAlignment="1">
      <alignment horizontal="center" vertical="center"/>
    </xf>
    <xf numFmtId="0" fontId="0" fillId="2" borderId="38" xfId="0" applyFont="1" applyFill="1" applyBorder="1" applyAlignment="1">
      <alignment horizontal="center" vertical="center"/>
    </xf>
    <xf numFmtId="0" fontId="0" fillId="2" borderId="38" xfId="0" applyFont="1" applyFill="1" applyBorder="1" applyAlignment="1">
      <alignment horizontal="center" vertical="center" wrapText="1"/>
    </xf>
    <xf numFmtId="0" fontId="0" fillId="2" borderId="38" xfId="0" applyFont="1" applyFill="1" applyBorder="1" applyAlignment="1">
      <alignment horizontal="left" vertical="center" wrapText="1"/>
    </xf>
    <xf numFmtId="0" fontId="0" fillId="2" borderId="39" xfId="0" applyFont="1" applyFill="1" applyBorder="1" applyAlignment="1">
      <alignment horizontal="center" vertical="center"/>
    </xf>
    <xf numFmtId="0" fontId="0" fillId="2" borderId="39" xfId="0" applyFont="1" applyFill="1" applyBorder="1" applyAlignment="1">
      <alignment horizontal="center" vertical="center" wrapText="1"/>
    </xf>
    <xf numFmtId="0" fontId="0" fillId="2" borderId="39" xfId="0" applyFill="1" applyBorder="1" applyAlignment="1">
      <alignment horizontal="center" vertical="center"/>
    </xf>
    <xf numFmtId="0" fontId="0" fillId="2" borderId="36" xfId="0" applyFill="1" applyBorder="1" applyAlignment="1">
      <alignment horizontal="left" vertical="center" wrapText="1"/>
    </xf>
    <xf numFmtId="0" fontId="0" fillId="2" borderId="36" xfId="0" applyFont="1" applyFill="1" applyBorder="1" applyAlignment="1">
      <alignment horizontal="left" wrapText="1"/>
    </xf>
    <xf numFmtId="0" fontId="0" fillId="2" borderId="40" xfId="0" applyFont="1" applyFill="1" applyBorder="1" applyAlignment="1">
      <alignment horizontal="center" vertical="center" wrapText="1"/>
    </xf>
    <xf numFmtId="0" fontId="10" fillId="2" borderId="36" xfId="0" applyFont="1" applyFill="1" applyBorder="1" applyAlignment="1">
      <alignment vertical="center"/>
    </xf>
    <xf numFmtId="0" fontId="0" fillId="2" borderId="10" xfId="0" applyNumberFormat="1" applyFont="1" applyFill="1" applyBorder="1" applyAlignment="1">
      <alignment horizontal="center" vertical="center" wrapText="1"/>
    </xf>
    <xf numFmtId="0" fontId="56" fillId="2" borderId="35" xfId="0" applyFont="1" applyFill="1" applyBorder="1" applyAlignment="1">
      <alignment horizontal="center" vertical="center" wrapText="1"/>
    </xf>
    <xf numFmtId="0" fontId="0" fillId="2" borderId="36" xfId="0" applyFont="1" applyFill="1" applyBorder="1" applyAlignment="1">
      <alignment vertical="center"/>
    </xf>
    <xf numFmtId="0" fontId="0" fillId="2" borderId="36" xfId="0" applyFont="1" applyFill="1" applyBorder="1" applyAlignment="1">
      <alignment horizontal="left" wrapText="1"/>
    </xf>
    <xf numFmtId="0" fontId="0" fillId="8" borderId="36" xfId="0" applyFont="1" applyFill="1" applyBorder="1" applyAlignment="1">
      <alignment horizontal="center" vertical="center"/>
    </xf>
    <xf numFmtId="0" fontId="57" fillId="8" borderId="35" xfId="0" applyFont="1" applyFill="1" applyBorder="1" applyAlignment="1">
      <alignment horizontal="center" vertical="center" wrapText="1"/>
    </xf>
    <xf numFmtId="0" fontId="10" fillId="8" borderId="36" xfId="0" applyFont="1" applyFill="1" applyBorder="1" applyAlignment="1">
      <alignment vertical="center"/>
    </xf>
    <xf numFmtId="0" fontId="3" fillId="0" borderId="36" xfId="50" applyFont="1" applyFill="1" applyBorder="1" applyAlignment="1">
      <alignment horizontal="center" vertical="center" wrapText="1"/>
      <protection/>
    </xf>
    <xf numFmtId="171" fontId="3" fillId="0" borderId="36" xfId="50" applyNumberFormat="1" applyFont="1" applyFill="1" applyBorder="1" applyAlignment="1">
      <alignment horizontal="center" vertical="center" wrapText="1"/>
      <protection/>
    </xf>
    <xf numFmtId="171" fontId="5" fillId="35" borderId="0" xfId="0" applyNumberFormat="1" applyFont="1" applyFill="1" applyBorder="1" applyAlignment="1">
      <alignment horizontal="right" vertical="center" wrapText="1"/>
    </xf>
    <xf numFmtId="0" fontId="0" fillId="13" borderId="36" xfId="0" applyFont="1" applyFill="1" applyBorder="1" applyAlignment="1">
      <alignment horizontal="center" vertical="center" wrapText="1"/>
    </xf>
    <xf numFmtId="2" fontId="0" fillId="13" borderId="36" xfId="0" applyNumberFormat="1" applyFont="1" applyFill="1" applyBorder="1" applyAlignment="1">
      <alignment horizontal="center" vertical="center" wrapText="1"/>
    </xf>
    <xf numFmtId="1" fontId="0" fillId="13" borderId="36" xfId="0" applyNumberFormat="1" applyFont="1" applyFill="1" applyBorder="1" applyAlignment="1">
      <alignment horizontal="center" vertical="center" wrapText="1"/>
    </xf>
    <xf numFmtId="1" fontId="0" fillId="13" borderId="35" xfId="0" applyNumberFormat="1" applyFont="1" applyFill="1" applyBorder="1" applyAlignment="1">
      <alignment horizontal="center" vertical="center" wrapText="1"/>
    </xf>
    <xf numFmtId="1" fontId="0" fillId="13" borderId="36" xfId="0" applyNumberFormat="1" applyFont="1" applyFill="1" applyBorder="1" applyAlignment="1">
      <alignment horizontal="center" vertical="center"/>
    </xf>
    <xf numFmtId="0" fontId="0" fillId="13" borderId="36" xfId="0" applyFont="1" applyFill="1" applyBorder="1" applyAlignment="1">
      <alignment wrapText="1"/>
    </xf>
    <xf numFmtId="1" fontId="0" fillId="13" borderId="36" xfId="0" applyNumberFormat="1" applyFont="1" applyFill="1" applyBorder="1" applyAlignment="1">
      <alignment horizontal="left" vertical="center" wrapText="1"/>
    </xf>
    <xf numFmtId="0" fontId="0" fillId="13" borderId="36" xfId="0" applyFont="1" applyFill="1" applyBorder="1" applyAlignment="1">
      <alignment horizontal="center" vertical="center"/>
    </xf>
    <xf numFmtId="0" fontId="0" fillId="13" borderId="36" xfId="0" applyFont="1" applyFill="1" applyBorder="1" applyAlignment="1">
      <alignment horizontal="center" vertical="center" wrapText="1"/>
    </xf>
    <xf numFmtId="0" fontId="0" fillId="13" borderId="36" xfId="0" applyFont="1" applyFill="1" applyBorder="1" applyAlignment="1">
      <alignment wrapText="1"/>
    </xf>
    <xf numFmtId="0" fontId="0" fillId="13" borderId="36" xfId="0" applyFont="1" applyFill="1" applyBorder="1" applyAlignment="1">
      <alignment horizontal="center" vertical="center"/>
    </xf>
    <xf numFmtId="0" fontId="0" fillId="13" borderId="35" xfId="0" applyFont="1" applyFill="1" applyBorder="1" applyAlignment="1">
      <alignment horizontal="center" vertical="center" wrapText="1"/>
    </xf>
    <xf numFmtId="0" fontId="0" fillId="13" borderId="36" xfId="0" applyFont="1" applyFill="1" applyBorder="1" applyAlignment="1">
      <alignment vertical="center" wrapText="1"/>
    </xf>
    <xf numFmtId="0" fontId="0" fillId="13" borderId="36" xfId="0" applyFont="1" applyFill="1" applyBorder="1" applyAlignment="1">
      <alignment horizontal="left" vertical="center" wrapText="1"/>
    </xf>
    <xf numFmtId="0" fontId="0" fillId="13" borderId="36" xfId="0" applyFill="1" applyBorder="1" applyAlignment="1">
      <alignment horizontal="center" vertical="center"/>
    </xf>
    <xf numFmtId="0" fontId="0" fillId="13" borderId="36" xfId="0" applyFill="1" applyBorder="1" applyAlignment="1">
      <alignment horizontal="left" vertical="center" wrapText="1"/>
    </xf>
    <xf numFmtId="0" fontId="0" fillId="13" borderId="36" xfId="0" applyFont="1" applyFill="1" applyBorder="1" applyAlignment="1">
      <alignment horizontal="left" vertical="center" wrapText="1"/>
    </xf>
    <xf numFmtId="0" fontId="0" fillId="13" borderId="41" xfId="0" applyFont="1" applyFill="1" applyBorder="1" applyAlignment="1">
      <alignment horizontal="center" vertical="center" wrapText="1"/>
    </xf>
    <xf numFmtId="0" fontId="0" fillId="13" borderId="36" xfId="0" applyFill="1" applyBorder="1" applyAlignment="1">
      <alignment vertical="center"/>
    </xf>
    <xf numFmtId="0" fontId="0" fillId="13" borderId="36" xfId="0" applyFill="1" applyBorder="1" applyAlignment="1">
      <alignment vertical="center" wrapText="1"/>
    </xf>
    <xf numFmtId="0" fontId="5" fillId="13" borderId="36" xfId="50" applyFont="1" applyFill="1" applyBorder="1" applyAlignment="1">
      <alignment horizontal="center" vertical="center"/>
      <protection/>
    </xf>
    <xf numFmtId="0" fontId="0" fillId="13" borderId="36" xfId="50" applyFont="1" applyFill="1" applyBorder="1" applyAlignment="1">
      <alignment horizontal="center" vertical="center" wrapText="1"/>
      <protection/>
    </xf>
    <xf numFmtId="2" fontId="0" fillId="13" borderId="36" xfId="50" applyNumberFormat="1" applyFont="1" applyFill="1" applyBorder="1" applyAlignment="1">
      <alignment horizontal="center" vertical="center" wrapText="1"/>
      <protection/>
    </xf>
    <xf numFmtId="0" fontId="0" fillId="13" borderId="10" xfId="50" applyNumberFormat="1" applyFont="1" applyFill="1" applyBorder="1" applyAlignment="1">
      <alignment horizontal="center" vertical="center" wrapText="1"/>
      <protection/>
    </xf>
    <xf numFmtId="0" fontId="0" fillId="13" borderId="36" xfId="50" applyFont="1" applyFill="1" applyBorder="1" applyAlignment="1">
      <alignment horizontal="left" vertical="center" wrapText="1"/>
      <protection/>
    </xf>
    <xf numFmtId="0" fontId="0" fillId="13" borderId="36" xfId="50" applyNumberFormat="1" applyFont="1" applyFill="1" applyBorder="1" applyAlignment="1">
      <alignment horizontal="center" vertical="center" wrapText="1"/>
      <protection/>
    </xf>
    <xf numFmtId="1" fontId="0" fillId="13" borderId="36" xfId="50" applyNumberFormat="1" applyFont="1" applyFill="1" applyBorder="1" applyAlignment="1">
      <alignment horizontal="center" vertical="center" wrapText="1"/>
      <protection/>
    </xf>
    <xf numFmtId="0" fontId="0" fillId="13" borderId="0" xfId="50" applyNumberFormat="1" applyFont="1" applyFill="1" applyBorder="1" applyAlignment="1">
      <alignment horizontal="center" vertical="center" wrapText="1"/>
      <protection/>
    </xf>
    <xf numFmtId="2" fontId="0" fillId="13" borderId="38" xfId="50" applyNumberFormat="1" applyFont="1" applyFill="1" applyBorder="1" applyAlignment="1">
      <alignment horizontal="center" vertical="center" wrapText="1"/>
      <protection/>
    </xf>
    <xf numFmtId="0" fontId="0" fillId="13" borderId="36" xfId="50" applyFont="1" applyFill="1" applyBorder="1" applyAlignment="1">
      <alignment horizontal="center" vertical="center"/>
      <protection/>
    </xf>
    <xf numFmtId="0" fontId="0" fillId="13" borderId="36" xfId="0" applyFill="1" applyBorder="1" applyAlignment="1">
      <alignment horizontal="center"/>
    </xf>
    <xf numFmtId="0" fontId="0" fillId="13" borderId="35" xfId="50" applyFont="1" applyFill="1" applyBorder="1" applyAlignment="1">
      <alignment horizontal="center" vertical="center" wrapText="1"/>
      <protection/>
    </xf>
    <xf numFmtId="0" fontId="0" fillId="13" borderId="36" xfId="0" applyFill="1" applyBorder="1" applyAlignment="1">
      <alignment wrapText="1"/>
    </xf>
    <xf numFmtId="0" fontId="0" fillId="13" borderId="37" xfId="50" applyFont="1" applyFill="1" applyBorder="1" applyAlignment="1">
      <alignment horizontal="center" vertical="center" wrapText="1"/>
      <protection/>
    </xf>
    <xf numFmtId="0" fontId="0" fillId="13" borderId="37" xfId="0" applyFill="1" applyBorder="1" applyAlignment="1">
      <alignment/>
    </xf>
    <xf numFmtId="1" fontId="0" fillId="13" borderId="37" xfId="0" applyNumberFormat="1" applyFont="1" applyFill="1" applyBorder="1" applyAlignment="1">
      <alignment horizontal="center" vertical="center" wrapText="1"/>
    </xf>
    <xf numFmtId="0" fontId="0" fillId="13" borderId="38" xfId="0" applyFont="1" applyFill="1" applyBorder="1" applyAlignment="1">
      <alignment horizontal="center" vertical="center"/>
    </xf>
    <xf numFmtId="0" fontId="0" fillId="13" borderId="38" xfId="50" applyFont="1" applyFill="1" applyBorder="1" applyAlignment="1">
      <alignment horizontal="center" vertical="center" wrapText="1"/>
      <protection/>
    </xf>
    <xf numFmtId="1" fontId="0" fillId="13" borderId="38" xfId="0" applyNumberFormat="1" applyFont="1" applyFill="1" applyBorder="1" applyAlignment="1">
      <alignment horizontal="center"/>
    </xf>
    <xf numFmtId="0" fontId="7" fillId="35" borderId="0" xfId="0" applyFont="1" applyFill="1" applyBorder="1" applyAlignment="1">
      <alignment horizontal="left"/>
    </xf>
    <xf numFmtId="0" fontId="2" fillId="35" borderId="0" xfId="0" applyFont="1" applyFill="1" applyBorder="1" applyAlignment="1">
      <alignment horizontal="center" vertical="center"/>
    </xf>
    <xf numFmtId="0" fontId="9" fillId="35" borderId="0" xfId="0" applyFont="1" applyFill="1" applyBorder="1" applyAlignment="1">
      <alignment horizontal="left"/>
    </xf>
    <xf numFmtId="2" fontId="0" fillId="35" borderId="0" xfId="0" applyNumberFormat="1" applyFont="1" applyFill="1" applyBorder="1" applyAlignment="1">
      <alignment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36" xfId="0" applyFont="1" applyFill="1" applyBorder="1" applyAlignment="1">
      <alignment horizontal="center" vertical="center" wrapText="1"/>
    </xf>
    <xf numFmtId="0" fontId="0" fillId="36" borderId="36" xfId="0" applyFont="1" applyFill="1" applyBorder="1" applyAlignment="1">
      <alignment horizontal="left" vertical="center" wrapText="1"/>
    </xf>
    <xf numFmtId="2" fontId="0" fillId="36" borderId="36" xfId="0" applyNumberFormat="1" applyFont="1" applyFill="1" applyBorder="1" applyAlignment="1">
      <alignment horizontal="center" vertical="center" wrapText="1"/>
    </xf>
    <xf numFmtId="0" fontId="0" fillId="36" borderId="36" xfId="0" applyFont="1" applyFill="1" applyBorder="1" applyAlignment="1">
      <alignment wrapText="1"/>
    </xf>
    <xf numFmtId="1" fontId="0" fillId="36" borderId="35" xfId="0" applyNumberFormat="1"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36" xfId="0" applyFont="1" applyFill="1" applyBorder="1" applyAlignment="1">
      <alignment vertical="center" wrapText="1"/>
    </xf>
    <xf numFmtId="1" fontId="0" fillId="36" borderId="36" xfId="0" applyNumberFormat="1" applyFont="1" applyFill="1" applyBorder="1" applyAlignment="1">
      <alignment horizontal="center" vertical="center" wrapText="1"/>
    </xf>
    <xf numFmtId="1" fontId="0" fillId="36" borderId="36" xfId="0" applyNumberFormat="1" applyFont="1" applyFill="1" applyBorder="1" applyAlignment="1">
      <alignment horizontal="center" vertical="center"/>
    </xf>
    <xf numFmtId="1" fontId="0" fillId="36" borderId="36" xfId="0" applyNumberFormat="1" applyFont="1" applyFill="1" applyBorder="1" applyAlignment="1">
      <alignment horizontal="left" vertical="center" wrapText="1"/>
    </xf>
    <xf numFmtId="0" fontId="58" fillId="36" borderId="36" xfId="0" applyFont="1" applyFill="1" applyBorder="1" applyAlignment="1">
      <alignment horizontal="center" vertical="center" wrapText="1"/>
    </xf>
    <xf numFmtId="0" fontId="58" fillId="36" borderId="36" xfId="0" applyFont="1" applyFill="1" applyBorder="1" applyAlignment="1">
      <alignment vertical="center" wrapText="1"/>
    </xf>
    <xf numFmtId="0" fontId="0" fillId="36" borderId="36" xfId="0" applyFont="1" applyFill="1" applyBorder="1" applyAlignment="1">
      <alignment horizontal="center" vertical="center"/>
    </xf>
    <xf numFmtId="0" fontId="15" fillId="36" borderId="36" xfId="0" applyFont="1" applyFill="1" applyBorder="1" applyAlignment="1">
      <alignment vertical="center" wrapText="1"/>
    </xf>
    <xf numFmtId="0" fontId="0" fillId="36" borderId="36" xfId="0" applyFont="1" applyFill="1" applyBorder="1" applyAlignment="1">
      <alignment horizontal="center" vertical="center" wrapText="1"/>
    </xf>
    <xf numFmtId="0" fontId="0" fillId="36" borderId="0" xfId="0" applyFont="1" applyFill="1" applyBorder="1" applyAlignment="1">
      <alignment wrapText="1"/>
    </xf>
    <xf numFmtId="0" fontId="0" fillId="36" borderId="36" xfId="0" applyFont="1" applyFill="1" applyBorder="1" applyAlignment="1">
      <alignment wrapText="1"/>
    </xf>
    <xf numFmtId="0" fontId="0" fillId="36" borderId="0" xfId="0" applyFill="1" applyBorder="1" applyAlignment="1">
      <alignment horizontal="left" vertical="center" wrapText="1"/>
    </xf>
    <xf numFmtId="0" fontId="0" fillId="36" borderId="36" xfId="0" applyFill="1" applyBorder="1" applyAlignment="1">
      <alignment wrapText="1"/>
    </xf>
    <xf numFmtId="2" fontId="0" fillId="36" borderId="36" xfId="0" applyNumberFormat="1" applyFill="1" applyBorder="1" applyAlignment="1">
      <alignment horizontal="center" vertical="center"/>
    </xf>
    <xf numFmtId="0" fontId="0" fillId="36" borderId="36" xfId="0" applyFill="1" applyBorder="1" applyAlignment="1">
      <alignment horizontal="center" vertical="center"/>
    </xf>
    <xf numFmtId="0" fontId="0" fillId="36" borderId="0" xfId="0" applyFill="1" applyBorder="1" applyAlignment="1">
      <alignment vertical="center"/>
    </xf>
    <xf numFmtId="0" fontId="0" fillId="36" borderId="36" xfId="0" applyFill="1" applyBorder="1" applyAlignment="1">
      <alignment horizontal="left" vertical="center" wrapText="1"/>
    </xf>
    <xf numFmtId="0" fontId="0" fillId="36" borderId="36" xfId="0" applyFont="1" applyFill="1" applyBorder="1" applyAlignment="1">
      <alignment horizontal="left" vertical="center" wrapText="1"/>
    </xf>
    <xf numFmtId="0" fontId="0" fillId="36" borderId="41" xfId="0" applyFont="1" applyFill="1" applyBorder="1" applyAlignment="1">
      <alignment horizontal="center" vertical="center" wrapText="1"/>
    </xf>
    <xf numFmtId="0" fontId="0" fillId="36" borderId="36" xfId="0" applyFill="1" applyBorder="1" applyAlignment="1">
      <alignment vertical="center"/>
    </xf>
    <xf numFmtId="0" fontId="0" fillId="36" borderId="36" xfId="0" applyFill="1" applyBorder="1" applyAlignment="1">
      <alignment vertical="center" wrapText="1"/>
    </xf>
    <xf numFmtId="0" fontId="0" fillId="36" borderId="0" xfId="0" applyFill="1" applyBorder="1" applyAlignment="1">
      <alignment wrapText="1"/>
    </xf>
    <xf numFmtId="0" fontId="0" fillId="36" borderId="39" xfId="0" applyFill="1" applyBorder="1" applyAlignment="1">
      <alignment horizontal="center" vertical="center"/>
    </xf>
    <xf numFmtId="0" fontId="0" fillId="36" borderId="39" xfId="0" applyFill="1" applyBorder="1" applyAlignment="1">
      <alignment wrapText="1"/>
    </xf>
    <xf numFmtId="0" fontId="0" fillId="36" borderId="39" xfId="0" applyFont="1" applyFill="1" applyBorder="1" applyAlignment="1">
      <alignment horizontal="center" vertical="center" wrapText="1"/>
    </xf>
    <xf numFmtId="2" fontId="0" fillId="36" borderId="39" xfId="0" applyNumberFormat="1" applyFont="1" applyFill="1" applyBorder="1" applyAlignment="1">
      <alignment horizontal="center" vertical="center" wrapText="1"/>
    </xf>
    <xf numFmtId="0" fontId="0" fillId="36" borderId="42" xfId="50" applyFont="1" applyFill="1" applyBorder="1" applyAlignment="1">
      <alignment horizontal="center" vertical="center" wrapText="1"/>
      <protection/>
    </xf>
    <xf numFmtId="0" fontId="0" fillId="36" borderId="10" xfId="50" applyNumberFormat="1" applyFont="1" applyFill="1" applyBorder="1" applyAlignment="1">
      <alignment horizontal="center" vertical="center" wrapText="1"/>
      <protection/>
    </xf>
    <xf numFmtId="0" fontId="0" fillId="36" borderId="36" xfId="50" applyFont="1" applyFill="1" applyBorder="1" applyAlignment="1">
      <alignment horizontal="center" vertical="center" wrapText="1"/>
      <protection/>
    </xf>
    <xf numFmtId="0" fontId="0" fillId="36" borderId="36" xfId="50" applyFont="1" applyFill="1" applyBorder="1" applyAlignment="1">
      <alignment horizontal="left" vertical="center" wrapText="1"/>
      <protection/>
    </xf>
    <xf numFmtId="0" fontId="0" fillId="36" borderId="36" xfId="50" applyNumberFormat="1" applyFont="1" applyFill="1" applyBorder="1" applyAlignment="1">
      <alignment horizontal="center" vertical="center" wrapText="1"/>
      <protection/>
    </xf>
    <xf numFmtId="0" fontId="0" fillId="36" borderId="0" xfId="50" applyFont="1" applyFill="1" applyBorder="1" applyAlignment="1">
      <alignment horizontal="center" vertical="center" wrapText="1"/>
      <protection/>
    </xf>
    <xf numFmtId="0" fontId="0" fillId="36" borderId="0" xfId="0" applyFill="1" applyBorder="1" applyAlignment="1">
      <alignment horizontal="left" wrapText="1"/>
    </xf>
    <xf numFmtId="1" fontId="0" fillId="36" borderId="36" xfId="50" applyNumberFormat="1" applyFont="1" applyFill="1" applyBorder="1" applyAlignment="1">
      <alignment horizontal="center" vertical="center" wrapText="1"/>
      <protection/>
    </xf>
    <xf numFmtId="0" fontId="0" fillId="36" borderId="0" xfId="50" applyNumberFormat="1" applyFont="1" applyFill="1" applyBorder="1" applyAlignment="1">
      <alignment horizontal="center" vertical="center" wrapText="1"/>
      <protection/>
    </xf>
    <xf numFmtId="2" fontId="0" fillId="36" borderId="38" xfId="50" applyNumberFormat="1" applyFont="1" applyFill="1" applyBorder="1" applyAlignment="1">
      <alignment horizontal="center" vertical="center" wrapText="1"/>
      <protection/>
    </xf>
    <xf numFmtId="0" fontId="0" fillId="36" borderId="36" xfId="50" applyFont="1" applyFill="1" applyBorder="1" applyAlignment="1">
      <alignment horizontal="center" vertical="center"/>
      <protection/>
    </xf>
    <xf numFmtId="2" fontId="0" fillId="36" borderId="36" xfId="50" applyNumberFormat="1" applyFont="1" applyFill="1" applyBorder="1" applyAlignment="1">
      <alignment horizontal="center" vertical="center" wrapText="1"/>
      <protection/>
    </xf>
    <xf numFmtId="0" fontId="0" fillId="36" borderId="36" xfId="0" applyFill="1" applyBorder="1" applyAlignment="1">
      <alignment horizontal="center"/>
    </xf>
    <xf numFmtId="0" fontId="0" fillId="36" borderId="0" xfId="0" applyFill="1" applyBorder="1" applyAlignment="1">
      <alignment/>
    </xf>
    <xf numFmtId="0" fontId="0" fillId="36" borderId="35" xfId="50" applyFont="1" applyFill="1" applyBorder="1" applyAlignment="1">
      <alignment horizontal="center" vertical="center" wrapText="1"/>
      <protection/>
    </xf>
    <xf numFmtId="0" fontId="0" fillId="36" borderId="37" xfId="50" applyFont="1" applyFill="1" applyBorder="1" applyAlignment="1">
      <alignment horizontal="center" vertical="center" wrapText="1"/>
      <protection/>
    </xf>
    <xf numFmtId="0" fontId="0" fillId="36" borderId="0" xfId="0" applyFill="1" applyBorder="1" applyAlignment="1">
      <alignment horizontal="center" vertical="center"/>
    </xf>
    <xf numFmtId="0" fontId="0" fillId="36" borderId="37" xfId="0" applyFill="1" applyBorder="1" applyAlignment="1">
      <alignment/>
    </xf>
    <xf numFmtId="2" fontId="0" fillId="36" borderId="37" xfId="0" applyNumberFormat="1" applyFont="1" applyFill="1" applyBorder="1" applyAlignment="1">
      <alignment horizontal="center" vertical="center" wrapText="1"/>
    </xf>
    <xf numFmtId="0" fontId="0" fillId="36" borderId="38" xfId="0" applyFont="1" applyFill="1" applyBorder="1" applyAlignment="1">
      <alignment horizontal="center" vertical="center"/>
    </xf>
    <xf numFmtId="2" fontId="0" fillId="36" borderId="38" xfId="0" applyNumberFormat="1" applyFont="1" applyFill="1" applyBorder="1" applyAlignment="1">
      <alignment horizontal="center"/>
    </xf>
    <xf numFmtId="0" fontId="0" fillId="36" borderId="0" xfId="0" applyFill="1" applyBorder="1" applyAlignment="1">
      <alignment vertical="center" wrapText="1"/>
    </xf>
    <xf numFmtId="0" fontId="0" fillId="36" borderId="38" xfId="50" applyFont="1" applyFill="1" applyBorder="1" applyAlignment="1">
      <alignment horizontal="center" vertical="center" wrapText="1"/>
      <protection/>
    </xf>
    <xf numFmtId="0" fontId="5" fillId="37" borderId="35" xfId="0" applyFont="1" applyFill="1" applyBorder="1" applyAlignment="1">
      <alignment horizontal="center" vertical="center" wrapText="1"/>
    </xf>
    <xf numFmtId="0" fontId="5" fillId="37" borderId="36" xfId="0" applyFont="1" applyFill="1" applyBorder="1" applyAlignment="1">
      <alignment horizontal="center" vertical="center"/>
    </xf>
    <xf numFmtId="0" fontId="0" fillId="37" borderId="36" xfId="0" applyFont="1" applyFill="1" applyBorder="1" applyAlignment="1">
      <alignment horizontal="center" vertical="center" wrapText="1"/>
    </xf>
    <xf numFmtId="0" fontId="0" fillId="13" borderId="36" xfId="50" applyFont="1" applyFill="1" applyBorder="1" applyAlignment="1">
      <alignment horizontal="left" wrapText="1"/>
      <protection/>
    </xf>
    <xf numFmtId="0" fontId="0" fillId="38" borderId="36"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38" borderId="36" xfId="0" applyFont="1" applyFill="1" applyBorder="1" applyAlignment="1">
      <alignment horizontal="center" vertical="center"/>
    </xf>
    <xf numFmtId="0" fontId="0" fillId="38" borderId="36" xfId="0" applyFont="1" applyFill="1" applyBorder="1" applyAlignment="1">
      <alignment horizontal="left" vertical="center" wrapText="1"/>
    </xf>
    <xf numFmtId="2" fontId="0" fillId="38" borderId="36" xfId="0" applyNumberFormat="1" applyFont="1" applyFill="1" applyBorder="1" applyAlignment="1">
      <alignment horizontal="center" vertical="center" wrapText="1"/>
    </xf>
    <xf numFmtId="0" fontId="0" fillId="39" borderId="36" xfId="0" applyFont="1" applyFill="1" applyBorder="1" applyAlignment="1">
      <alignment horizontal="center" vertical="center"/>
    </xf>
    <xf numFmtId="0" fontId="0" fillId="39" borderId="36" xfId="0" applyFont="1" applyFill="1" applyBorder="1" applyAlignment="1">
      <alignment horizontal="center" vertical="center" wrapText="1"/>
    </xf>
    <xf numFmtId="0" fontId="0" fillId="39" borderId="36" xfId="0" applyFont="1" applyFill="1" applyBorder="1" applyAlignment="1">
      <alignment horizontal="left" vertical="center" wrapText="1"/>
    </xf>
    <xf numFmtId="2" fontId="0" fillId="39" borderId="36" xfId="0" applyNumberFormat="1" applyFont="1" applyFill="1" applyBorder="1" applyAlignment="1">
      <alignment horizontal="center" vertical="center" wrapText="1"/>
    </xf>
    <xf numFmtId="0" fontId="0" fillId="26" borderId="36" xfId="0" applyFont="1" applyFill="1" applyBorder="1" applyAlignment="1">
      <alignment horizontal="center" vertical="center"/>
    </xf>
    <xf numFmtId="0" fontId="0" fillId="38" borderId="36" xfId="50" applyFont="1" applyFill="1" applyBorder="1" applyAlignment="1">
      <alignment horizontal="center" vertical="center"/>
      <protection/>
    </xf>
    <xf numFmtId="0" fontId="0" fillId="38" borderId="36" xfId="50" applyFont="1" applyFill="1" applyBorder="1" applyAlignment="1">
      <alignment horizontal="center" vertical="center" wrapText="1"/>
      <protection/>
    </xf>
    <xf numFmtId="0" fontId="0" fillId="38" borderId="36" xfId="0" applyFill="1" applyBorder="1" applyAlignment="1">
      <alignment horizontal="center" vertical="center"/>
    </xf>
    <xf numFmtId="0" fontId="0" fillId="38" borderId="36" xfId="0" applyFill="1" applyBorder="1" applyAlignment="1">
      <alignment vertical="center" wrapText="1"/>
    </xf>
    <xf numFmtId="0" fontId="5" fillId="37" borderId="36" xfId="0" applyFont="1" applyFill="1" applyBorder="1" applyAlignment="1">
      <alignment horizontal="center" vertical="center" wrapText="1"/>
    </xf>
    <xf numFmtId="2" fontId="5" fillId="37" borderId="36" xfId="0" applyNumberFormat="1" applyFont="1" applyFill="1" applyBorder="1" applyAlignment="1">
      <alignment horizontal="center" vertical="center" wrapText="1"/>
    </xf>
    <xf numFmtId="0" fontId="5" fillId="19" borderId="35" xfId="50" applyFont="1" applyFill="1" applyBorder="1" applyAlignment="1">
      <alignment horizontal="center" vertical="center" wrapText="1"/>
      <protection/>
    </xf>
    <xf numFmtId="0" fontId="5" fillId="19" borderId="35" xfId="0" applyFont="1" applyFill="1" applyBorder="1" applyAlignment="1">
      <alignment horizontal="center" vertical="center" wrapText="1"/>
    </xf>
    <xf numFmtId="0" fontId="5" fillId="19" borderId="36" xfId="0" applyFont="1" applyFill="1" applyBorder="1" applyAlignment="1">
      <alignment horizontal="center" vertical="center"/>
    </xf>
    <xf numFmtId="0" fontId="0" fillId="19" borderId="35" xfId="0" applyFont="1" applyFill="1" applyBorder="1" applyAlignment="1">
      <alignment horizontal="center" vertical="center" wrapText="1"/>
    </xf>
    <xf numFmtId="0" fontId="0" fillId="19" borderId="36" xfId="0" applyFont="1" applyFill="1" applyBorder="1" applyAlignment="1">
      <alignment horizontal="center" vertical="center"/>
    </xf>
    <xf numFmtId="1" fontId="5" fillId="19" borderId="35" xfId="0" applyNumberFormat="1" applyFont="1" applyFill="1" applyBorder="1" applyAlignment="1">
      <alignment horizontal="center" vertical="center" wrapText="1"/>
    </xf>
    <xf numFmtId="1" fontId="5" fillId="19" borderId="36" xfId="0" applyNumberFormat="1" applyFont="1" applyFill="1" applyBorder="1" applyAlignment="1">
      <alignment horizontal="center" vertical="center"/>
    </xf>
    <xf numFmtId="0" fontId="0" fillId="19" borderId="36" xfId="0" applyFont="1" applyFill="1" applyBorder="1" applyAlignment="1">
      <alignment horizontal="center" vertical="center" wrapText="1"/>
    </xf>
    <xf numFmtId="0" fontId="5" fillId="19" borderId="36" xfId="0" applyFont="1" applyFill="1" applyBorder="1" applyAlignment="1">
      <alignment horizontal="center" vertical="center" wrapText="1"/>
    </xf>
    <xf numFmtId="2" fontId="5" fillId="19" borderId="36" xfId="0" applyNumberFormat="1" applyFont="1" applyFill="1" applyBorder="1" applyAlignment="1">
      <alignment horizontal="center" vertical="center" wrapText="1"/>
    </xf>
    <xf numFmtId="0" fontId="5" fillId="19" borderId="43" xfId="0" applyFont="1" applyFill="1" applyBorder="1" applyAlignment="1">
      <alignment horizontal="center" vertical="center" wrapText="1"/>
    </xf>
    <xf numFmtId="0" fontId="0" fillId="19" borderId="36" xfId="50" applyFont="1" applyFill="1" applyBorder="1" applyAlignment="1">
      <alignment horizontal="center" vertical="center"/>
      <protection/>
    </xf>
    <xf numFmtId="1" fontId="0" fillId="38" borderId="36" xfId="0" applyNumberFormat="1" applyFont="1" applyFill="1" applyBorder="1" applyAlignment="1">
      <alignment horizontal="center" vertical="center" wrapText="1"/>
    </xf>
    <xf numFmtId="1" fontId="0" fillId="38" borderId="36" xfId="0" applyNumberFormat="1" applyFont="1" applyFill="1" applyBorder="1" applyAlignment="1">
      <alignment horizontal="left" vertical="center" wrapText="1"/>
    </xf>
    <xf numFmtId="0" fontId="45" fillId="13" borderId="40" xfId="44" applyFill="1" applyBorder="1" applyAlignment="1">
      <alignment/>
    </xf>
    <xf numFmtId="0" fontId="3" fillId="0" borderId="44" xfId="50" applyFont="1" applyFill="1" applyBorder="1" applyAlignment="1">
      <alignment horizontal="center" vertical="center" wrapText="1"/>
      <protection/>
    </xf>
    <xf numFmtId="171" fontId="3" fillId="0" borderId="45" xfId="50" applyNumberFormat="1" applyFont="1" applyFill="1" applyBorder="1" applyAlignment="1">
      <alignment horizontal="center" vertical="center" wrapText="1"/>
      <protection/>
    </xf>
    <xf numFmtId="0" fontId="0" fillId="2" borderId="0" xfId="0" applyFill="1" applyBorder="1" applyAlignment="1">
      <alignment horizontal="left" vertical="center" wrapText="1"/>
    </xf>
    <xf numFmtId="0" fontId="0" fillId="2" borderId="0" xfId="0" applyFill="1" applyBorder="1" applyAlignment="1">
      <alignment horizontal="center" vertical="center"/>
    </xf>
    <xf numFmtId="0" fontId="0" fillId="2" borderId="4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 fillId="0" borderId="35" xfId="50" applyFont="1" applyFill="1" applyBorder="1" applyAlignment="1">
      <alignment horizontal="center" vertical="center" wrapText="1"/>
      <protection/>
    </xf>
    <xf numFmtId="171" fontId="3" fillId="0" borderId="43" xfId="50" applyNumberFormat="1" applyFont="1" applyFill="1" applyBorder="1" applyAlignment="1">
      <alignment horizontal="center" vertical="center" wrapText="1"/>
      <protection/>
    </xf>
    <xf numFmtId="0" fontId="0" fillId="13" borderId="0" xfId="0" applyFill="1" applyBorder="1" applyAlignment="1">
      <alignment horizontal="left" vertical="center" wrapText="1"/>
    </xf>
    <xf numFmtId="0" fontId="0" fillId="13" borderId="0" xfId="0" applyFill="1" applyBorder="1" applyAlignment="1">
      <alignment horizontal="center" vertical="center"/>
    </xf>
    <xf numFmtId="0" fontId="0" fillId="13" borderId="0" xfId="0" applyFill="1" applyBorder="1" applyAlignment="1">
      <alignment wrapText="1"/>
    </xf>
    <xf numFmtId="0" fontId="0" fillId="13" borderId="42" xfId="50" applyFont="1" applyFill="1" applyBorder="1" applyAlignment="1">
      <alignment horizontal="center" vertical="center" wrapText="1"/>
      <protection/>
    </xf>
    <xf numFmtId="0" fontId="0" fillId="13" borderId="0" xfId="50" applyFont="1" applyFill="1" applyBorder="1" applyAlignment="1">
      <alignment horizontal="center" vertical="center" wrapText="1"/>
      <protection/>
    </xf>
    <xf numFmtId="0" fontId="0" fillId="13" borderId="0" xfId="0" applyFill="1" applyBorder="1" applyAlignment="1">
      <alignment/>
    </xf>
    <xf numFmtId="0" fontId="0" fillId="13" borderId="0" xfId="0" applyFont="1" applyFill="1" applyBorder="1" applyAlignment="1">
      <alignment wrapText="1"/>
    </xf>
    <xf numFmtId="0" fontId="0" fillId="0" borderId="0" xfId="0" applyAlignment="1">
      <alignment vertical="center"/>
    </xf>
    <xf numFmtId="179" fontId="0" fillId="0" borderId="15" xfId="0" applyNumberFormat="1" applyBorder="1" applyAlignment="1">
      <alignment/>
    </xf>
    <xf numFmtId="0" fontId="0" fillId="39" borderId="38" xfId="0" applyFont="1" applyFill="1" applyBorder="1" applyAlignment="1">
      <alignment horizontal="center" vertical="center" wrapText="1"/>
    </xf>
    <xf numFmtId="0" fontId="0" fillId="39" borderId="38" xfId="0" applyFont="1" applyFill="1" applyBorder="1" applyAlignment="1">
      <alignment horizontal="left" vertical="center" wrapText="1"/>
    </xf>
    <xf numFmtId="0" fontId="0" fillId="39" borderId="38" xfId="0" applyFill="1" applyBorder="1" applyAlignment="1">
      <alignment horizontal="center" vertical="center"/>
    </xf>
    <xf numFmtId="0" fontId="0" fillId="13" borderId="46" xfId="0" applyFont="1" applyFill="1" applyBorder="1" applyAlignment="1">
      <alignment horizontal="center" vertical="center" wrapText="1"/>
    </xf>
    <xf numFmtId="0" fontId="0" fillId="13" borderId="38" xfId="0" applyFont="1" applyFill="1" applyBorder="1" applyAlignment="1">
      <alignment horizontal="center" vertical="center" wrapText="1"/>
    </xf>
    <xf numFmtId="0" fontId="0" fillId="13" borderId="38" xfId="0" applyFill="1" applyBorder="1" applyAlignment="1">
      <alignment horizontal="left" vertical="center" wrapText="1"/>
    </xf>
    <xf numFmtId="0" fontId="0" fillId="38" borderId="36" xfId="0" applyFill="1" applyBorder="1" applyAlignment="1">
      <alignment wrapText="1"/>
    </xf>
    <xf numFmtId="0" fontId="5" fillId="8" borderId="41"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48" xfId="0" applyFont="1" applyFill="1" applyBorder="1" applyAlignment="1">
      <alignment horizontal="center" vertical="center" wrapText="1"/>
    </xf>
    <xf numFmtId="0" fontId="5" fillId="37" borderId="41"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7" borderId="48" xfId="0" applyFont="1" applyFill="1" applyBorder="1" applyAlignment="1">
      <alignment horizontal="center" vertical="center" wrapText="1"/>
    </xf>
    <xf numFmtId="2" fontId="0" fillId="2" borderId="38" xfId="0" applyNumberFormat="1" applyFill="1" applyBorder="1" applyAlignment="1">
      <alignment horizontal="center" vertical="center"/>
    </xf>
    <xf numFmtId="2" fontId="0" fillId="2" borderId="36" xfId="0" applyNumberFormat="1" applyFont="1" applyFill="1" applyBorder="1" applyAlignment="1">
      <alignment horizontal="center" vertical="center"/>
    </xf>
    <xf numFmtId="2" fontId="0" fillId="2" borderId="39" xfId="0" applyNumberFormat="1" applyFill="1" applyBorder="1" applyAlignment="1">
      <alignment horizontal="center" vertical="center"/>
    </xf>
    <xf numFmtId="2" fontId="0" fillId="2" borderId="36" xfId="0" applyNumberFormat="1" applyFill="1" applyBorder="1" applyAlignment="1">
      <alignment horizontal="center" vertical="center"/>
    </xf>
    <xf numFmtId="0" fontId="3" fillId="0" borderId="24" xfId="0" applyFont="1" applyBorder="1" applyAlignment="1" applyProtection="1">
      <alignment horizontal="center" vertical="center" wrapText="1"/>
      <protection hidden="1" locked="0"/>
    </xf>
    <xf numFmtId="0" fontId="3" fillId="0" borderId="25" xfId="0" applyFont="1" applyBorder="1" applyAlignment="1" applyProtection="1">
      <alignment horizontal="center" vertical="center" wrapText="1"/>
      <protection hidden="1" locked="0"/>
    </xf>
    <xf numFmtId="0" fontId="3" fillId="0" borderId="26" xfId="0" applyFont="1" applyBorder="1" applyAlignment="1" applyProtection="1">
      <alignment horizontal="center" vertical="center" wrapText="1"/>
      <protection hidden="1" locked="0"/>
    </xf>
    <xf numFmtId="0" fontId="3" fillId="0" borderId="35" xfId="0" applyFont="1" applyBorder="1" applyAlignment="1" applyProtection="1">
      <alignment horizontal="center" vertical="center" wrapText="1"/>
      <protection hidden="1" locked="0"/>
    </xf>
    <xf numFmtId="0" fontId="3" fillId="0" borderId="36" xfId="0" applyFont="1" applyBorder="1" applyAlignment="1" applyProtection="1">
      <alignment horizontal="center" vertical="center" wrapText="1"/>
      <protection hidden="1" locked="0"/>
    </xf>
    <xf numFmtId="0" fontId="3" fillId="0" borderId="43" xfId="0" applyFont="1" applyBorder="1" applyAlignment="1" applyProtection="1">
      <alignment horizontal="center" vertical="center" wrapText="1"/>
      <protection hidden="1" locked="0"/>
    </xf>
    <xf numFmtId="0" fontId="3" fillId="0" borderId="27" xfId="0" applyFont="1" applyBorder="1" applyAlignment="1" applyProtection="1">
      <alignment horizontal="center" vertical="center" wrapText="1"/>
      <protection hidden="1" locked="0"/>
    </xf>
    <xf numFmtId="0" fontId="3" fillId="0" borderId="28" xfId="0" applyFont="1" applyBorder="1" applyAlignment="1" applyProtection="1">
      <alignment horizontal="center" vertical="center" wrapText="1"/>
      <protection hidden="1" locked="0"/>
    </xf>
    <xf numFmtId="0" fontId="3" fillId="0" borderId="29" xfId="0" applyFont="1" applyBorder="1" applyAlignment="1" applyProtection="1">
      <alignment horizontal="center" vertical="center" wrapText="1"/>
      <protection hidden="1" locked="0"/>
    </xf>
    <xf numFmtId="0" fontId="4" fillId="0" borderId="49" xfId="0" applyFont="1" applyBorder="1" applyAlignment="1" applyProtection="1">
      <alignment horizontal="center" vertical="center" wrapText="1"/>
      <protection hidden="1" locked="0"/>
    </xf>
    <xf numFmtId="0" fontId="4" fillId="0" borderId="50" xfId="0" applyFont="1" applyBorder="1" applyAlignment="1" applyProtection="1">
      <alignment horizontal="center" vertical="center" wrapText="1"/>
      <protection hidden="1" locked="0"/>
    </xf>
    <xf numFmtId="0" fontId="4" fillId="0" borderId="51" xfId="0" applyFont="1" applyBorder="1" applyAlignment="1" applyProtection="1">
      <alignment horizontal="center" vertical="center" wrapText="1"/>
      <protection hidden="1" locked="0"/>
    </xf>
    <xf numFmtId="0" fontId="16" fillId="15" borderId="44" xfId="0" applyFont="1" applyFill="1" applyBorder="1" applyAlignment="1" applyProtection="1">
      <alignment horizontal="center" vertical="center" wrapText="1"/>
      <protection hidden="1" locked="0"/>
    </xf>
    <xf numFmtId="0" fontId="16" fillId="15" borderId="37" xfId="0" applyFont="1" applyFill="1" applyBorder="1" applyAlignment="1" applyProtection="1">
      <alignment horizontal="center" vertical="center" wrapText="1"/>
      <protection hidden="1" locked="0"/>
    </xf>
    <xf numFmtId="0" fontId="16" fillId="15" borderId="45" xfId="0" applyFont="1" applyFill="1" applyBorder="1" applyAlignment="1" applyProtection="1">
      <alignment horizontal="center" vertical="center" wrapText="1"/>
      <protection hidden="1" locked="0"/>
    </xf>
    <xf numFmtId="0" fontId="6" fillId="3" borderId="49" xfId="0" applyFont="1" applyFill="1" applyBorder="1" applyAlignment="1" applyProtection="1">
      <alignment horizontal="center" vertical="center" wrapText="1"/>
      <protection hidden="1" locked="0"/>
    </xf>
    <xf numFmtId="0" fontId="6" fillId="3" borderId="50" xfId="0" applyFont="1" applyFill="1" applyBorder="1" applyAlignment="1" applyProtection="1">
      <alignment horizontal="center" vertical="center" wrapText="1"/>
      <protection hidden="1" locked="0"/>
    </xf>
    <xf numFmtId="0" fontId="6" fillId="3" borderId="51" xfId="0" applyFont="1" applyFill="1" applyBorder="1" applyAlignment="1" applyProtection="1">
      <alignment horizontal="center" vertical="center" wrapText="1"/>
      <protection hidden="1" locked="0"/>
    </xf>
    <xf numFmtId="0" fontId="5" fillId="0" borderId="52" xfId="0" applyFont="1" applyFill="1" applyBorder="1" applyAlignment="1" applyProtection="1">
      <alignment horizontal="center" vertical="center"/>
      <protection hidden="1" locked="0"/>
    </xf>
    <xf numFmtId="0" fontId="5" fillId="0" borderId="53" xfId="0" applyFont="1" applyFill="1" applyBorder="1" applyAlignment="1" applyProtection="1">
      <alignment horizontal="center" vertical="center"/>
      <protection hidden="1" locked="0"/>
    </xf>
    <xf numFmtId="0" fontId="5" fillId="0" borderId="54" xfId="0" applyFont="1" applyFill="1" applyBorder="1" applyAlignment="1" applyProtection="1">
      <alignment horizontal="center" vertical="center"/>
      <protection hidden="1" locked="0"/>
    </xf>
    <xf numFmtId="0" fontId="0" fillId="0" borderId="55" xfId="0" applyFont="1" applyFill="1" applyBorder="1" applyAlignment="1" applyProtection="1">
      <alignment horizontal="left" vertical="center" wrapText="1"/>
      <protection hidden="1" locked="0"/>
    </xf>
    <xf numFmtId="0" fontId="0" fillId="0" borderId="56" xfId="0" applyFont="1" applyFill="1" applyBorder="1" applyAlignment="1" applyProtection="1">
      <alignment horizontal="left" vertical="center" wrapText="1"/>
      <protection hidden="1" locked="0"/>
    </xf>
    <xf numFmtId="0" fontId="0" fillId="0" borderId="57" xfId="0" applyFont="1" applyFill="1" applyBorder="1" applyAlignment="1" applyProtection="1">
      <alignment horizontal="left" vertical="center" wrapText="1"/>
      <protection hidden="1" locked="0"/>
    </xf>
    <xf numFmtId="0" fontId="3" fillId="14" borderId="58" xfId="0" applyFont="1" applyFill="1" applyBorder="1" applyAlignment="1">
      <alignment horizontal="center" vertical="center" wrapText="1"/>
    </xf>
    <xf numFmtId="0" fontId="3" fillId="14" borderId="59"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16" fillId="17" borderId="60" xfId="0" applyFont="1" applyFill="1" applyBorder="1" applyAlignment="1" applyProtection="1">
      <alignment horizontal="center" vertical="center" wrapText="1"/>
      <protection hidden="1" locked="0"/>
    </xf>
    <xf numFmtId="0" fontId="16" fillId="17" borderId="61" xfId="0" applyFont="1" applyFill="1" applyBorder="1" applyAlignment="1" applyProtection="1">
      <alignment horizontal="center" vertical="center" wrapText="1"/>
      <protection hidden="1" locked="0"/>
    </xf>
    <xf numFmtId="0" fontId="16" fillId="17" borderId="62" xfId="0" applyFont="1" applyFill="1" applyBorder="1" applyAlignment="1" applyProtection="1">
      <alignment horizontal="center" vertical="center" wrapText="1"/>
      <protection hidden="1" locked="0"/>
    </xf>
    <xf numFmtId="0" fontId="16" fillId="19" borderId="49" xfId="0" applyFont="1" applyFill="1" applyBorder="1" applyAlignment="1" applyProtection="1">
      <alignment horizontal="center" vertical="center" wrapText="1"/>
      <protection hidden="1" locked="0"/>
    </xf>
    <xf numFmtId="0" fontId="16" fillId="19" borderId="50" xfId="0" applyFont="1" applyFill="1" applyBorder="1" applyAlignment="1" applyProtection="1">
      <alignment horizontal="center" vertical="center" wrapText="1"/>
      <protection hidden="1" locked="0"/>
    </xf>
    <xf numFmtId="0" fontId="16" fillId="19" borderId="51" xfId="0" applyFont="1" applyFill="1" applyBorder="1" applyAlignment="1" applyProtection="1">
      <alignment horizontal="center" vertical="center" wrapText="1"/>
      <protection hidden="1" locked="0"/>
    </xf>
    <xf numFmtId="0" fontId="3" fillId="15" borderId="60" xfId="50" applyFont="1" applyFill="1" applyBorder="1" applyAlignment="1">
      <alignment horizontal="center" vertical="center" wrapText="1"/>
      <protection/>
    </xf>
    <xf numFmtId="0" fontId="3" fillId="15" borderId="61" xfId="50" applyFont="1" applyFill="1" applyBorder="1" applyAlignment="1">
      <alignment horizontal="center" vertical="center" wrapText="1"/>
      <protection/>
    </xf>
    <xf numFmtId="0" fontId="16" fillId="14" borderId="49" xfId="0" applyFont="1" applyFill="1" applyBorder="1" applyAlignment="1" applyProtection="1">
      <alignment horizontal="center" vertical="center" wrapText="1"/>
      <protection hidden="1" locked="0"/>
    </xf>
    <xf numFmtId="0" fontId="16" fillId="14" borderId="50" xfId="0" applyFont="1" applyFill="1" applyBorder="1" applyAlignment="1" applyProtection="1">
      <alignment horizontal="center" vertical="center" wrapText="1"/>
      <protection hidden="1" locked="0"/>
    </xf>
    <xf numFmtId="0" fontId="16" fillId="14" borderId="51" xfId="0" applyFont="1" applyFill="1" applyBorder="1" applyAlignment="1" applyProtection="1">
      <alignment horizontal="center" vertical="center" wrapText="1"/>
      <protection hidden="1" locked="0"/>
    </xf>
    <xf numFmtId="0" fontId="6" fillId="2" borderId="49" xfId="0" applyFont="1" applyFill="1" applyBorder="1" applyAlignment="1" applyProtection="1">
      <alignment horizontal="center" vertical="center" wrapText="1"/>
      <protection hidden="1" locked="0"/>
    </xf>
    <xf numFmtId="0" fontId="6" fillId="2" borderId="50" xfId="0" applyFont="1" applyFill="1" applyBorder="1" applyAlignment="1" applyProtection="1">
      <alignment horizontal="center" vertical="center" wrapText="1"/>
      <protection hidden="1" locked="0"/>
    </xf>
    <xf numFmtId="0" fontId="6" fillId="2" borderId="51" xfId="0" applyFont="1" applyFill="1" applyBorder="1" applyAlignment="1" applyProtection="1">
      <alignment horizontal="center" vertical="center" wrapText="1"/>
      <protection hidden="1" locked="0"/>
    </xf>
    <xf numFmtId="2" fontId="5" fillId="0" borderId="0" xfId="50" applyNumberFormat="1" applyFont="1" applyFill="1" applyBorder="1" applyAlignment="1">
      <alignment horizontal="center"/>
      <protection/>
    </xf>
    <xf numFmtId="0" fontId="5" fillId="0" borderId="0" xfId="50" applyFont="1" applyFill="1" applyBorder="1" applyAlignment="1">
      <alignment horizontal="center"/>
      <protection/>
    </xf>
    <xf numFmtId="2" fontId="0" fillId="3" borderId="41" xfId="0" applyNumberFormat="1" applyFont="1" applyFill="1" applyBorder="1" applyAlignment="1">
      <alignment horizontal="center" vertical="center" wrapText="1"/>
    </xf>
    <xf numFmtId="2" fontId="0" fillId="3" borderId="47" xfId="0" applyNumberFormat="1" applyFont="1" applyFill="1" applyBorder="1" applyAlignment="1">
      <alignment horizontal="center" vertical="center" wrapText="1"/>
    </xf>
    <xf numFmtId="2" fontId="0" fillId="3" borderId="48" xfId="0" applyNumberFormat="1" applyFont="1" applyFill="1" applyBorder="1" applyAlignment="1">
      <alignment horizontal="center" vertical="center" wrapText="1"/>
    </xf>
    <xf numFmtId="2" fontId="0" fillId="39" borderId="41" xfId="0" applyNumberFormat="1" applyFont="1" applyFill="1" applyBorder="1" applyAlignment="1">
      <alignment horizontal="center" vertical="center" wrapText="1"/>
    </xf>
    <xf numFmtId="2" fontId="0" fillId="39" borderId="47" xfId="0" applyNumberFormat="1" applyFont="1" applyFill="1" applyBorder="1" applyAlignment="1">
      <alignment horizontal="center" vertical="center" wrapText="1"/>
    </xf>
    <xf numFmtId="2" fontId="0" fillId="39" borderId="48" xfId="0" applyNumberFormat="1" applyFont="1" applyFill="1" applyBorder="1" applyAlignment="1">
      <alignment horizontal="center" vertical="center" wrapText="1"/>
    </xf>
    <xf numFmtId="0" fontId="3" fillId="14" borderId="63" xfId="0" applyFont="1" applyFill="1" applyBorder="1" applyAlignment="1">
      <alignment horizontal="center" vertical="center" wrapText="1"/>
    </xf>
    <xf numFmtId="0" fontId="3" fillId="14" borderId="34" xfId="0" applyFont="1" applyFill="1" applyBorder="1" applyAlignment="1">
      <alignment horizontal="center" vertical="center" wrapText="1"/>
    </xf>
    <xf numFmtId="2" fontId="0" fillId="2" borderId="41" xfId="0" applyNumberFormat="1" applyFont="1" applyFill="1" applyBorder="1" applyAlignment="1">
      <alignment horizontal="center" vertical="center" wrapText="1"/>
    </xf>
    <xf numFmtId="2" fontId="0" fillId="2" borderId="47" xfId="0" applyNumberFormat="1" applyFont="1" applyFill="1" applyBorder="1" applyAlignment="1">
      <alignment horizontal="center" vertical="center" wrapText="1"/>
    </xf>
    <xf numFmtId="2" fontId="0" fillId="2" borderId="48" xfId="0" applyNumberFormat="1" applyFont="1" applyFill="1" applyBorder="1" applyAlignment="1">
      <alignment horizontal="center" vertical="center" wrapText="1"/>
    </xf>
    <xf numFmtId="1" fontId="0" fillId="38" borderId="41" xfId="0" applyNumberFormat="1" applyFont="1" applyFill="1" applyBorder="1" applyAlignment="1">
      <alignment horizontal="center" vertical="center" wrapText="1"/>
    </xf>
    <xf numFmtId="1" fontId="0" fillId="38" borderId="47" xfId="0" applyNumberFormat="1" applyFont="1" applyFill="1" applyBorder="1" applyAlignment="1">
      <alignment horizontal="center" vertical="center" wrapText="1"/>
    </xf>
    <xf numFmtId="1" fontId="0" fillId="38" borderId="40" xfId="0" applyNumberFormat="1" applyFont="1" applyFill="1" applyBorder="1" applyAlignment="1">
      <alignment horizontal="center" vertical="center" wrapText="1"/>
    </xf>
    <xf numFmtId="2" fontId="0" fillId="36" borderId="41" xfId="0" applyNumberFormat="1" applyFont="1" applyFill="1" applyBorder="1" applyAlignment="1">
      <alignment horizontal="center" vertical="center" wrapText="1"/>
    </xf>
    <xf numFmtId="2" fontId="0" fillId="36" borderId="47" xfId="0" applyNumberFormat="1" applyFont="1" applyFill="1" applyBorder="1" applyAlignment="1">
      <alignment horizontal="center" vertical="center" wrapText="1"/>
    </xf>
    <xf numFmtId="2" fontId="0" fillId="36" borderId="48" xfId="0" applyNumberFormat="1" applyFont="1" applyFill="1" applyBorder="1" applyAlignment="1">
      <alignment horizontal="center" vertical="center" wrapText="1"/>
    </xf>
    <xf numFmtId="2" fontId="0" fillId="13" borderId="41" xfId="50" applyNumberFormat="1" applyFont="1" applyFill="1" applyBorder="1" applyAlignment="1">
      <alignment horizontal="center" vertical="center" wrapText="1"/>
      <protection/>
    </xf>
    <xf numFmtId="2" fontId="0" fillId="13" borderId="47" xfId="50" applyNumberFormat="1" applyFont="1" applyFill="1" applyBorder="1" applyAlignment="1">
      <alignment horizontal="center" vertical="center" wrapText="1"/>
      <protection/>
    </xf>
    <xf numFmtId="2" fontId="0" fillId="13" borderId="48" xfId="50" applyNumberFormat="1" applyFont="1" applyFill="1" applyBorder="1" applyAlignment="1">
      <alignment horizontal="center" vertical="center" wrapText="1"/>
      <protection/>
    </xf>
    <xf numFmtId="2" fontId="0" fillId="13" borderId="41" xfId="0" applyNumberFormat="1" applyFont="1" applyFill="1" applyBorder="1" applyAlignment="1">
      <alignment horizontal="center" vertical="center" wrapText="1"/>
    </xf>
    <xf numFmtId="2" fontId="0" fillId="13" borderId="47" xfId="0" applyNumberFormat="1" applyFont="1" applyFill="1" applyBorder="1" applyAlignment="1">
      <alignment horizontal="center" vertical="center" wrapText="1"/>
    </xf>
    <xf numFmtId="2" fontId="0" fillId="13" borderId="48" xfId="0" applyNumberFormat="1" applyFont="1" applyFill="1" applyBorder="1" applyAlignment="1">
      <alignment horizontal="center" vertical="center" wrapText="1"/>
    </xf>
    <xf numFmtId="0" fontId="5" fillId="19" borderId="41" xfId="0" applyFont="1" applyFill="1" applyBorder="1" applyAlignment="1">
      <alignment horizontal="center" vertical="center" wrapText="1"/>
    </xf>
    <xf numFmtId="0" fontId="5" fillId="19" borderId="47" xfId="0" applyFont="1" applyFill="1" applyBorder="1" applyAlignment="1">
      <alignment horizontal="center" vertical="center" wrapText="1"/>
    </xf>
    <xf numFmtId="0" fontId="5" fillId="19" borderId="48" xfId="0" applyFont="1" applyFill="1" applyBorder="1" applyAlignment="1">
      <alignment horizontal="center" vertical="center" wrapText="1"/>
    </xf>
    <xf numFmtId="2" fontId="0" fillId="39" borderId="64" xfId="0" applyNumberFormat="1" applyFont="1" applyFill="1" applyBorder="1" applyAlignment="1">
      <alignment horizontal="center" vertical="center" wrapText="1"/>
    </xf>
    <xf numFmtId="2" fontId="0" fillId="39" borderId="65" xfId="0" applyNumberFormat="1" applyFont="1" applyFill="1" applyBorder="1" applyAlignment="1">
      <alignment horizontal="center" vertical="center" wrapText="1"/>
    </xf>
    <xf numFmtId="2" fontId="0" fillId="39" borderId="66" xfId="0" applyNumberFormat="1" applyFont="1" applyFill="1" applyBorder="1" applyAlignment="1">
      <alignment horizontal="center" vertical="center" wrapText="1"/>
    </xf>
    <xf numFmtId="0" fontId="3" fillId="19" borderId="58" xfId="0" applyFont="1" applyFill="1" applyBorder="1" applyAlignment="1">
      <alignment horizontal="center" vertical="center" wrapText="1"/>
    </xf>
    <xf numFmtId="0" fontId="3" fillId="19" borderId="59" xfId="0" applyFont="1" applyFill="1" applyBorder="1" applyAlignment="1">
      <alignment horizontal="center" vertical="center" wrapText="1"/>
    </xf>
    <xf numFmtId="0" fontId="3" fillId="19" borderId="63"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3" fillId="19" borderId="33" xfId="0" applyFont="1" applyFill="1" applyBorder="1" applyAlignment="1">
      <alignment horizontal="center" vertical="center" wrapText="1"/>
    </xf>
    <xf numFmtId="0" fontId="3" fillId="19" borderId="34" xfId="0" applyFont="1" applyFill="1" applyBorder="1" applyAlignment="1">
      <alignment horizontal="center" vertical="center" wrapText="1"/>
    </xf>
    <xf numFmtId="0" fontId="5" fillId="19" borderId="41" xfId="50" applyFont="1" applyFill="1" applyBorder="1" applyAlignment="1">
      <alignment horizontal="center" vertical="center" wrapText="1"/>
      <protection/>
    </xf>
    <xf numFmtId="0" fontId="5" fillId="19" borderId="47" xfId="50" applyFont="1" applyFill="1" applyBorder="1" applyAlignment="1">
      <alignment horizontal="center" vertical="center" wrapText="1"/>
      <protection/>
    </xf>
    <xf numFmtId="0" fontId="5" fillId="19" borderId="48" xfId="50" applyFont="1" applyFill="1" applyBorder="1" applyAlignment="1">
      <alignment horizontal="center" vertical="center" wrapText="1"/>
      <protection/>
    </xf>
    <xf numFmtId="1" fontId="0" fillId="13" borderId="41" xfId="0" applyNumberFormat="1" applyFont="1" applyFill="1" applyBorder="1" applyAlignment="1">
      <alignment horizontal="center" vertical="center" wrapText="1"/>
    </xf>
    <xf numFmtId="1" fontId="0" fillId="13" borderId="47" xfId="0" applyNumberFormat="1" applyFont="1" applyFill="1" applyBorder="1" applyAlignment="1">
      <alignment horizontal="center" vertical="center" wrapText="1"/>
    </xf>
    <xf numFmtId="1" fontId="0" fillId="13" borderId="40" xfId="0" applyNumberFormat="1" applyFont="1" applyFill="1" applyBorder="1" applyAlignment="1">
      <alignment horizontal="center" vertical="center" wrapText="1"/>
    </xf>
    <xf numFmtId="0" fontId="0" fillId="13" borderId="41" xfId="50" applyNumberFormat="1" applyFont="1" applyFill="1" applyBorder="1" applyAlignment="1">
      <alignment horizontal="center" vertical="center" wrapText="1"/>
      <protection/>
    </xf>
    <xf numFmtId="0" fontId="0" fillId="13" borderId="47" xfId="50" applyNumberFormat="1" applyFont="1" applyFill="1" applyBorder="1" applyAlignment="1">
      <alignment horizontal="center" vertical="center" wrapText="1"/>
      <protection/>
    </xf>
    <xf numFmtId="0" fontId="0" fillId="13" borderId="48" xfId="50" applyNumberFormat="1" applyFont="1" applyFill="1" applyBorder="1" applyAlignment="1">
      <alignment horizontal="center" vertical="center" wrapText="1"/>
      <protection/>
    </xf>
    <xf numFmtId="1" fontId="0" fillId="13" borderId="41" xfId="50" applyNumberFormat="1" applyFont="1" applyFill="1" applyBorder="1" applyAlignment="1">
      <alignment horizontal="center" vertical="center" wrapText="1"/>
      <protection/>
    </xf>
    <xf numFmtId="1" fontId="0" fillId="13" borderId="47" xfId="50" applyNumberFormat="1" applyFont="1" applyFill="1" applyBorder="1" applyAlignment="1">
      <alignment horizontal="center" vertical="center" wrapText="1"/>
      <protection/>
    </xf>
    <xf numFmtId="1" fontId="0" fillId="13" borderId="48" xfId="50" applyNumberFormat="1" applyFont="1" applyFill="1" applyBorder="1" applyAlignment="1">
      <alignment horizontal="center" vertical="center" wrapText="1"/>
      <protection/>
    </xf>
    <xf numFmtId="1" fontId="5" fillId="19" borderId="41" xfId="0" applyNumberFormat="1" applyFont="1" applyFill="1" applyBorder="1" applyAlignment="1">
      <alignment horizontal="center" vertical="center" wrapText="1"/>
    </xf>
    <xf numFmtId="1" fontId="5" fillId="19" borderId="47" xfId="0" applyNumberFormat="1" applyFont="1" applyFill="1" applyBorder="1" applyAlignment="1">
      <alignment horizontal="center" vertical="center" wrapText="1"/>
    </xf>
    <xf numFmtId="1" fontId="5" fillId="19" borderId="48" xfId="0" applyNumberFormat="1" applyFont="1" applyFill="1" applyBorder="1" applyAlignment="1">
      <alignment horizontal="center" vertical="center" wrapText="1"/>
    </xf>
    <xf numFmtId="1" fontId="0" fillId="13" borderId="48" xfId="0" applyNumberFormat="1" applyFont="1" applyFill="1" applyBorder="1" applyAlignment="1">
      <alignment horizontal="center" vertical="center" wrapText="1"/>
    </xf>
    <xf numFmtId="2" fontId="0" fillId="38" borderId="41" xfId="0" applyNumberFormat="1" applyFont="1" applyFill="1" applyBorder="1" applyAlignment="1">
      <alignment horizontal="center" vertical="center" wrapText="1"/>
    </xf>
    <xf numFmtId="2" fontId="0" fillId="38" borderId="47" xfId="0" applyNumberFormat="1" applyFont="1" applyFill="1" applyBorder="1" applyAlignment="1">
      <alignment horizontal="center" vertical="center" wrapText="1"/>
    </xf>
    <xf numFmtId="2" fontId="0" fillId="38" borderId="48" xfId="0" applyNumberFormat="1"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48" xfId="0" applyFont="1" applyFill="1" applyBorder="1" applyAlignment="1">
      <alignment horizontal="center" vertical="center" wrapText="1"/>
    </xf>
    <xf numFmtId="0" fontId="3" fillId="15" borderId="62" xfId="50" applyFont="1" applyFill="1" applyBorder="1" applyAlignment="1">
      <alignment horizontal="center" vertical="center" wrapText="1"/>
      <protection/>
    </xf>
    <xf numFmtId="2" fontId="0" fillId="36" borderId="67" xfId="0" applyNumberFormat="1" applyFont="1" applyFill="1" applyBorder="1" applyAlignment="1">
      <alignment horizontal="center" vertical="center" wrapText="1"/>
    </xf>
    <xf numFmtId="2" fontId="0" fillId="36" borderId="68" xfId="0" applyNumberFormat="1" applyFont="1" applyFill="1" applyBorder="1" applyAlignment="1">
      <alignment horizontal="center" vertical="center" wrapText="1"/>
    </xf>
    <xf numFmtId="2" fontId="0" fillId="36" borderId="69" xfId="0" applyNumberFormat="1" applyFont="1" applyFill="1" applyBorder="1" applyAlignment="1">
      <alignment horizontal="center" vertical="center" wrapText="1"/>
    </xf>
    <xf numFmtId="2" fontId="0" fillId="36" borderId="70" xfId="0" applyNumberFormat="1" applyFont="1" applyFill="1" applyBorder="1" applyAlignment="1">
      <alignment horizontal="center" vertical="center" wrapText="1"/>
    </xf>
    <xf numFmtId="2" fontId="0" fillId="36" borderId="71" xfId="0" applyNumberFormat="1" applyFont="1" applyFill="1" applyBorder="1" applyAlignment="1">
      <alignment horizontal="center" vertical="center" wrapText="1"/>
    </xf>
    <xf numFmtId="2" fontId="0" fillId="36" borderId="72" xfId="0" applyNumberFormat="1" applyFont="1" applyFill="1" applyBorder="1" applyAlignment="1">
      <alignment horizontal="center" vertical="center" wrapText="1"/>
    </xf>
    <xf numFmtId="2" fontId="0" fillId="36" borderId="73" xfId="0" applyNumberFormat="1" applyFont="1" applyFill="1" applyBorder="1" applyAlignment="1">
      <alignment horizontal="center" vertical="center" wrapText="1"/>
    </xf>
    <xf numFmtId="2" fontId="0" fillId="36" borderId="74" xfId="0" applyNumberFormat="1" applyFont="1" applyFill="1" applyBorder="1" applyAlignment="1">
      <alignment horizontal="center" vertical="center" wrapText="1"/>
    </xf>
    <xf numFmtId="2" fontId="0" fillId="36" borderId="75" xfId="0" applyNumberFormat="1" applyFont="1"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47"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5" fillId="9" borderId="41" xfId="50" applyFont="1" applyFill="1" applyBorder="1" applyAlignment="1">
      <alignment horizontal="center" vertical="center" wrapText="1"/>
      <protection/>
    </xf>
    <xf numFmtId="0" fontId="5" fillId="9" borderId="47" xfId="50" applyFont="1" applyFill="1" applyBorder="1" applyAlignment="1">
      <alignment horizontal="center" vertical="center" wrapText="1"/>
      <protection/>
    </xf>
    <xf numFmtId="0" fontId="5" fillId="9" borderId="48" xfId="50" applyFont="1" applyFill="1" applyBorder="1" applyAlignment="1">
      <alignment horizontal="center" vertical="center" wrapText="1"/>
      <protection/>
    </xf>
    <xf numFmtId="0" fontId="0" fillId="36" borderId="4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1" fontId="5" fillId="9" borderId="41" xfId="0" applyNumberFormat="1" applyFont="1" applyFill="1" applyBorder="1" applyAlignment="1">
      <alignment horizontal="center" vertical="center" wrapText="1"/>
    </xf>
    <xf numFmtId="1" fontId="5" fillId="9" borderId="47" xfId="0" applyNumberFormat="1" applyFont="1" applyFill="1" applyBorder="1" applyAlignment="1">
      <alignment horizontal="center" vertical="center" wrapText="1"/>
    </xf>
    <xf numFmtId="1" fontId="5" fillId="9" borderId="48" xfId="0" applyNumberFormat="1" applyFont="1" applyFill="1" applyBorder="1" applyAlignment="1">
      <alignment horizontal="center" vertical="center" wrapText="1"/>
    </xf>
    <xf numFmtId="0" fontId="5" fillId="37" borderId="41"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7" borderId="48" xfId="0" applyFont="1" applyFill="1" applyBorder="1" applyAlignment="1">
      <alignment horizontal="center" vertical="center" wrapText="1"/>
    </xf>
    <xf numFmtId="2" fontId="5" fillId="14" borderId="55" xfId="0" applyNumberFormat="1" applyFont="1" applyFill="1" applyBorder="1" applyAlignment="1">
      <alignment horizontal="center" vertical="center" wrapText="1"/>
    </xf>
    <xf numFmtId="2" fontId="5" fillId="14" borderId="56" xfId="0" applyNumberFormat="1" applyFont="1" applyFill="1" applyBorder="1" applyAlignment="1">
      <alignment horizontal="center" vertical="center" wrapText="1"/>
    </xf>
    <xf numFmtId="2" fontId="5" fillId="14" borderId="76" xfId="0" applyNumberFormat="1" applyFont="1" applyFill="1" applyBorder="1" applyAlignment="1">
      <alignment horizontal="center" vertical="center" wrapText="1"/>
    </xf>
    <xf numFmtId="1" fontId="5" fillId="8" borderId="41" xfId="0" applyNumberFormat="1" applyFont="1" applyFill="1" applyBorder="1" applyAlignment="1">
      <alignment horizontal="center" vertical="center" wrapText="1"/>
    </xf>
    <xf numFmtId="1" fontId="5" fillId="8" borderId="47" xfId="0" applyNumberFormat="1" applyFont="1" applyFill="1" applyBorder="1" applyAlignment="1">
      <alignment horizontal="center" vertical="center" wrapText="1"/>
    </xf>
    <xf numFmtId="1" fontId="5" fillId="8" borderId="48" xfId="0" applyNumberFormat="1" applyFont="1" applyFill="1" applyBorder="1" applyAlignment="1">
      <alignment horizontal="center" vertical="center" wrapText="1"/>
    </xf>
    <xf numFmtId="2" fontId="5" fillId="15" borderId="56" xfId="0" applyNumberFormat="1" applyFont="1" applyFill="1" applyBorder="1" applyAlignment="1">
      <alignment horizontal="center" vertical="center" wrapText="1"/>
    </xf>
    <xf numFmtId="2" fontId="5" fillId="15" borderId="76" xfId="0" applyNumberFormat="1" applyFont="1" applyFill="1" applyBorder="1" applyAlignment="1">
      <alignment horizontal="center" vertical="center" wrapText="1"/>
    </xf>
    <xf numFmtId="2" fontId="8" fillId="3" borderId="47" xfId="0" applyNumberFormat="1" applyFont="1" applyFill="1" applyBorder="1" applyAlignment="1">
      <alignment horizontal="center" vertical="center" wrapText="1"/>
    </xf>
    <xf numFmtId="2" fontId="8" fillId="3" borderId="48" xfId="0" applyNumberFormat="1" applyFont="1" applyFill="1" applyBorder="1" applyAlignment="1">
      <alignment horizontal="center" vertical="center" wrapText="1"/>
    </xf>
    <xf numFmtId="2" fontId="5" fillId="37" borderId="47" xfId="0" applyNumberFormat="1" applyFont="1" applyFill="1" applyBorder="1" applyAlignment="1">
      <alignment horizontal="center" vertical="center" wrapText="1"/>
    </xf>
    <xf numFmtId="2" fontId="5" fillId="37" borderId="48" xfId="0" applyNumberFormat="1" applyFont="1" applyFill="1" applyBorder="1" applyAlignment="1">
      <alignment horizontal="center" vertical="center" wrapText="1"/>
    </xf>
    <xf numFmtId="0" fontId="6" fillId="7" borderId="49" xfId="0" applyFont="1" applyFill="1" applyBorder="1" applyAlignment="1" applyProtection="1">
      <alignment horizontal="center" vertical="center" wrapText="1"/>
      <protection hidden="1" locked="0"/>
    </xf>
    <xf numFmtId="0" fontId="6" fillId="7" borderId="50" xfId="0" applyFont="1" applyFill="1" applyBorder="1" applyAlignment="1" applyProtection="1">
      <alignment horizontal="center" vertical="center" wrapText="1"/>
      <protection hidden="1" locked="0"/>
    </xf>
    <xf numFmtId="0" fontId="6" fillId="7" borderId="51" xfId="0" applyFont="1" applyFill="1" applyBorder="1" applyAlignment="1" applyProtection="1">
      <alignment horizontal="center" vertical="center" wrapText="1"/>
      <protection hidden="1" locked="0"/>
    </xf>
    <xf numFmtId="0" fontId="0" fillId="0" borderId="77" xfId="0" applyFont="1" applyBorder="1" applyAlignment="1">
      <alignment horizontal="center" vertical="center" wrapText="1"/>
    </xf>
    <xf numFmtId="0" fontId="0" fillId="0" borderId="78" xfId="0" applyBorder="1" applyAlignment="1">
      <alignment horizontal="center"/>
    </xf>
    <xf numFmtId="0" fontId="0" fillId="0" borderId="79" xfId="0" applyBorder="1" applyAlignment="1">
      <alignment horizontal="center"/>
    </xf>
    <xf numFmtId="0" fontId="5" fillId="0" borderId="80" xfId="0" applyFont="1" applyBorder="1" applyAlignment="1">
      <alignment horizontal="center" wrapText="1"/>
    </xf>
    <xf numFmtId="0" fontId="5" fillId="0" borderId="81" xfId="0" applyFont="1" applyBorder="1" applyAlignment="1">
      <alignment horizontal="center" wrapText="1"/>
    </xf>
    <xf numFmtId="0" fontId="5" fillId="0" borderId="82" xfId="0" applyFont="1" applyBorder="1" applyAlignment="1">
      <alignment horizontal="center"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83" xfId="0" applyFont="1" applyBorder="1" applyAlignment="1">
      <alignment horizontal="center"/>
    </xf>
    <xf numFmtId="0" fontId="0" fillId="34" borderId="83" xfId="0" applyFont="1" applyFill="1" applyBorder="1" applyAlignment="1">
      <alignment horizontal="center"/>
    </xf>
    <xf numFmtId="0" fontId="0" fillId="0" borderId="14" xfId="0" applyBorder="1" applyAlignment="1">
      <alignment horizontal="center"/>
    </xf>
    <xf numFmtId="0" fontId="0" fillId="0" borderId="84" xfId="0" applyFont="1" applyBorder="1" applyAlignment="1">
      <alignment horizont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6" fillId="0" borderId="84" xfId="0" applyFont="1" applyBorder="1" applyAlignment="1">
      <alignment horizontal="center" vertical="center"/>
    </xf>
    <xf numFmtId="0" fontId="5" fillId="0" borderId="85" xfId="0" applyFont="1" applyBorder="1" applyAlignment="1">
      <alignment horizontal="center" vertical="center"/>
    </xf>
    <xf numFmtId="0" fontId="0" fillId="0" borderId="86" xfId="0" applyFont="1" applyBorder="1" applyAlignment="1">
      <alignment horizontal="center"/>
    </xf>
    <xf numFmtId="0" fontId="0" fillId="0" borderId="77" xfId="0" applyBorder="1" applyAlignment="1">
      <alignment horizontal="center" vertical="center"/>
    </xf>
    <xf numFmtId="0" fontId="6" fillId="0" borderId="77"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3" xfId="0" applyFont="1" applyBorder="1" applyAlignment="1">
      <alignment horizontal="center" vertical="center"/>
    </xf>
    <xf numFmtId="0" fontId="0" fillId="0" borderId="10" xfId="0" applyFont="1" applyBorder="1" applyAlignment="1">
      <alignment horizontal="center" vertical="center" wrapText="1"/>
    </xf>
    <xf numFmtId="0" fontId="5" fillId="0" borderId="88" xfId="0" applyFont="1" applyBorder="1" applyAlignment="1">
      <alignment horizontal="center" vertical="center"/>
    </xf>
    <xf numFmtId="0" fontId="0" fillId="0" borderId="12" xfId="0" applyFont="1" applyBorder="1" applyAlignment="1">
      <alignment horizontal="center" vertical="center" wrapText="1"/>
    </xf>
    <xf numFmtId="0" fontId="0" fillId="2" borderId="36" xfId="0" applyFont="1" applyFill="1" applyBorder="1" applyAlignment="1" applyProtection="1">
      <alignment horizontal="left" vertical="center" wrapText="1"/>
      <protection hidden="1"/>
    </xf>
    <xf numFmtId="0" fontId="5" fillId="0" borderId="35"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wrapText="1"/>
      <protection hidden="1"/>
    </xf>
    <xf numFmtId="2" fontId="5" fillId="0" borderId="36" xfId="0" applyNumberFormat="1" applyFont="1" applyFill="1" applyBorder="1" applyAlignment="1" applyProtection="1">
      <alignment horizontal="center" vertical="center" wrapText="1"/>
      <protection hidden="1"/>
    </xf>
    <xf numFmtId="2" fontId="5" fillId="35" borderId="36" xfId="0" applyNumberFormat="1" applyFont="1" applyFill="1" applyBorder="1" applyAlignment="1" applyProtection="1">
      <alignment horizontal="center" vertical="center" wrapText="1"/>
      <protection hidden="1"/>
    </xf>
    <xf numFmtId="0" fontId="5" fillId="0" borderId="43" xfId="0" applyFont="1" applyFill="1" applyBorder="1" applyAlignment="1" applyProtection="1">
      <alignment horizontal="center" vertical="center" wrapText="1"/>
      <protection hidden="1"/>
    </xf>
    <xf numFmtId="0" fontId="2" fillId="0" borderId="0" xfId="0" applyFont="1" applyBorder="1" applyAlignment="1" applyProtection="1">
      <alignment horizontal="left"/>
      <protection hidden="1"/>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43"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4" fillId="0" borderId="49" xfId="0" applyFont="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5" fillId="0" borderId="24" xfId="0" applyFont="1" applyFill="1" applyBorder="1" applyAlignment="1" applyProtection="1">
      <alignment vertical="center" wrapText="1"/>
      <protection hidden="1"/>
    </xf>
    <xf numFmtId="0" fontId="0" fillId="0" borderId="55" xfId="0" applyFont="1" applyFill="1" applyBorder="1" applyAlignment="1" applyProtection="1">
      <alignment horizontal="left" vertical="center" wrapText="1"/>
      <protection hidden="1"/>
    </xf>
    <xf numFmtId="0" fontId="0" fillId="0" borderId="56" xfId="0" applyFont="1" applyFill="1" applyBorder="1" applyAlignment="1" applyProtection="1">
      <alignment horizontal="left" vertical="center" wrapText="1"/>
      <protection hidden="1"/>
    </xf>
    <xf numFmtId="0" fontId="0" fillId="0" borderId="57" xfId="0" applyFont="1" applyFill="1" applyBorder="1" applyAlignment="1" applyProtection="1">
      <alignment horizontal="left" vertical="center" wrapText="1"/>
      <protection hidden="1"/>
    </xf>
    <xf numFmtId="0" fontId="5" fillId="0" borderId="25" xfId="0" applyFont="1" applyFill="1" applyBorder="1" applyAlignment="1" applyProtection="1">
      <alignment horizontal="center" vertical="center" wrapText="1"/>
      <protection hidden="1"/>
    </xf>
    <xf numFmtId="14" fontId="5" fillId="0" borderId="26" xfId="0" applyNumberFormat="1" applyFont="1" applyFill="1" applyBorder="1" applyAlignment="1" applyProtection="1">
      <alignment vertical="center" wrapText="1"/>
      <protection hidden="1"/>
    </xf>
    <xf numFmtId="0" fontId="2" fillId="0" borderId="0" xfId="0" applyFont="1" applyFill="1" applyBorder="1" applyAlignment="1" applyProtection="1">
      <alignment horizontal="left"/>
      <protection hidden="1"/>
    </xf>
    <xf numFmtId="0" fontId="5" fillId="0" borderId="27" xfId="0" applyFont="1" applyFill="1" applyBorder="1" applyAlignment="1" applyProtection="1">
      <alignment vertical="center" wrapText="1"/>
      <protection hidden="1"/>
    </xf>
    <xf numFmtId="0" fontId="5" fillId="0" borderId="52" xfId="0" applyFont="1" applyFill="1" applyBorder="1" applyAlignment="1" applyProtection="1">
      <alignment horizontal="center" vertical="center"/>
      <protection hidden="1"/>
    </xf>
    <xf numFmtId="0" fontId="5" fillId="0" borderId="53" xfId="0" applyFont="1" applyFill="1" applyBorder="1" applyAlignment="1" applyProtection="1">
      <alignment horizontal="center" vertical="center"/>
      <protection hidden="1"/>
    </xf>
    <xf numFmtId="0" fontId="5" fillId="0" borderId="54" xfId="0" applyFont="1" applyFill="1" applyBorder="1" applyAlignment="1" applyProtection="1">
      <alignment horizontal="center" vertical="center"/>
      <protection hidden="1"/>
    </xf>
    <xf numFmtId="0" fontId="5" fillId="0" borderId="28" xfId="0" applyFont="1" applyFill="1" applyBorder="1" applyAlignment="1" applyProtection="1">
      <alignment horizontal="center" vertical="center" wrapText="1"/>
      <protection hidden="1"/>
    </xf>
    <xf numFmtId="10" fontId="5" fillId="0" borderId="29" xfId="0" applyNumberFormat="1" applyFont="1" applyFill="1" applyBorder="1" applyAlignment="1" applyProtection="1">
      <alignment vertical="center" wrapText="1"/>
      <protection hidden="1"/>
    </xf>
    <xf numFmtId="0" fontId="16" fillId="17" borderId="60" xfId="0" applyFont="1" applyFill="1" applyBorder="1" applyAlignment="1" applyProtection="1">
      <alignment horizontal="center" vertical="center" wrapText="1"/>
      <protection hidden="1"/>
    </xf>
    <xf numFmtId="0" fontId="16" fillId="17" borderId="61" xfId="0" applyFont="1" applyFill="1" applyBorder="1" applyAlignment="1" applyProtection="1">
      <alignment horizontal="center" vertical="center" wrapText="1"/>
      <protection hidden="1"/>
    </xf>
    <xf numFmtId="0" fontId="16" fillId="17" borderId="62" xfId="0" applyFont="1" applyFill="1" applyBorder="1" applyAlignment="1" applyProtection="1">
      <alignment horizontal="center" vertical="center" wrapText="1"/>
      <protection hidden="1"/>
    </xf>
    <xf numFmtId="0" fontId="16" fillId="15" borderId="44" xfId="0" applyFont="1" applyFill="1" applyBorder="1" applyAlignment="1" applyProtection="1">
      <alignment horizontal="center" vertical="center" wrapText="1"/>
      <protection hidden="1"/>
    </xf>
    <xf numFmtId="0" fontId="16" fillId="15" borderId="37" xfId="0" applyFont="1" applyFill="1" applyBorder="1" applyAlignment="1" applyProtection="1">
      <alignment horizontal="center" vertical="center" wrapText="1"/>
      <protection hidden="1"/>
    </xf>
    <xf numFmtId="0" fontId="16" fillId="15" borderId="45" xfId="0" applyFont="1" applyFill="1" applyBorder="1" applyAlignment="1" applyProtection="1">
      <alignment horizontal="center" vertical="center" wrapText="1"/>
      <protection hidden="1"/>
    </xf>
    <xf numFmtId="171" fontId="2" fillId="0" borderId="0" xfId="0" applyNumberFormat="1" applyFont="1" applyFill="1" applyBorder="1" applyAlignment="1" applyProtection="1">
      <alignment horizontal="left"/>
      <protection hidden="1"/>
    </xf>
    <xf numFmtId="0" fontId="6" fillId="3" borderId="49" xfId="0" applyFont="1" applyFill="1" applyBorder="1" applyAlignment="1" applyProtection="1">
      <alignment horizontal="center" vertical="center" wrapText="1"/>
      <protection hidden="1"/>
    </xf>
    <xf numFmtId="0" fontId="6" fillId="3" borderId="50" xfId="0" applyFont="1" applyFill="1" applyBorder="1" applyAlignment="1" applyProtection="1">
      <alignment horizontal="center" vertical="center" wrapText="1"/>
      <protection hidden="1"/>
    </xf>
    <xf numFmtId="0" fontId="6" fillId="3" borderId="51"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protection hidden="1"/>
    </xf>
    <xf numFmtId="0" fontId="7" fillId="0" borderId="0" xfId="0" applyFont="1" applyBorder="1" applyAlignment="1" applyProtection="1">
      <alignment horizontal="left"/>
      <protection hidden="1"/>
    </xf>
    <xf numFmtId="0" fontId="5" fillId="40" borderId="35" xfId="0" applyFont="1" applyFill="1" applyBorder="1" applyAlignment="1" applyProtection="1">
      <alignment horizontal="center" vertical="center" wrapText="1"/>
      <protection hidden="1"/>
    </xf>
    <xf numFmtId="0" fontId="5" fillId="15" borderId="36"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wrapText="1"/>
      <protection hidden="1"/>
    </xf>
    <xf numFmtId="0" fontId="5" fillId="15" borderId="36" xfId="0" applyFont="1" applyFill="1" applyBorder="1" applyAlignment="1" applyProtection="1">
      <alignment horizontal="center" vertical="center" wrapText="1"/>
      <protection hidden="1"/>
    </xf>
    <xf numFmtId="2" fontId="5" fillId="15" borderId="36" xfId="0" applyNumberFormat="1" applyFont="1" applyFill="1" applyBorder="1" applyAlignment="1" applyProtection="1">
      <alignment horizontal="center" vertical="center" wrapText="1"/>
      <protection hidden="1"/>
    </xf>
    <xf numFmtId="0" fontId="5" fillId="15" borderId="43" xfId="0" applyFont="1" applyFill="1" applyBorder="1" applyAlignment="1" applyProtection="1">
      <alignment horizontal="center" vertical="center" wrapText="1"/>
      <protection hidden="1"/>
    </xf>
    <xf numFmtId="4" fontId="2" fillId="0" borderId="0" xfId="0" applyNumberFormat="1" applyFont="1" applyFill="1" applyBorder="1" applyAlignment="1" applyProtection="1">
      <alignment horizontal="left"/>
      <protection hidden="1"/>
    </xf>
    <xf numFmtId="0" fontId="8" fillId="3" borderId="35" xfId="0" applyFont="1" applyFill="1" applyBorder="1" applyAlignment="1" applyProtection="1">
      <alignment horizontal="center" vertical="center" wrapText="1"/>
      <protection hidden="1"/>
    </xf>
    <xf numFmtId="0" fontId="8" fillId="3" borderId="36" xfId="0" applyFont="1" applyFill="1" applyBorder="1" applyAlignment="1" applyProtection="1">
      <alignment horizontal="center" vertical="center"/>
      <protection hidden="1"/>
    </xf>
    <xf numFmtId="0" fontId="2" fillId="3" borderId="36" xfId="0" applyFont="1" applyFill="1" applyBorder="1" applyAlignment="1" applyProtection="1">
      <alignment horizontal="center" vertical="center" wrapText="1"/>
      <protection hidden="1"/>
    </xf>
    <xf numFmtId="0" fontId="8" fillId="3" borderId="36" xfId="0" applyFont="1" applyFill="1" applyBorder="1" applyAlignment="1" applyProtection="1">
      <alignment horizontal="center" vertical="center" wrapText="1"/>
      <protection hidden="1"/>
    </xf>
    <xf numFmtId="2" fontId="8" fillId="3" borderId="36" xfId="0" applyNumberFormat="1" applyFont="1" applyFill="1" applyBorder="1" applyAlignment="1" applyProtection="1">
      <alignment horizontal="center" vertical="center" wrapText="1"/>
      <protection hidden="1"/>
    </xf>
    <xf numFmtId="0" fontId="8" fillId="3" borderId="43" xfId="0" applyFont="1" applyFill="1" applyBorder="1" applyAlignment="1" applyProtection="1">
      <alignment horizontal="center" vertical="center" wrapText="1"/>
      <protection hidden="1"/>
    </xf>
    <xf numFmtId="0" fontId="5" fillId="37" borderId="35" xfId="0" applyFont="1" applyFill="1" applyBorder="1" applyAlignment="1" applyProtection="1">
      <alignment horizontal="center" vertical="center" wrapText="1"/>
      <protection hidden="1"/>
    </xf>
    <xf numFmtId="0" fontId="5" fillId="37" borderId="36" xfId="0" applyFont="1" applyFill="1" applyBorder="1" applyAlignment="1" applyProtection="1">
      <alignment horizontal="center" vertical="center"/>
      <protection hidden="1"/>
    </xf>
    <xf numFmtId="0" fontId="0" fillId="37" borderId="36" xfId="0" applyFont="1" applyFill="1" applyBorder="1" applyAlignment="1" applyProtection="1">
      <alignment horizontal="center" vertical="center" wrapText="1"/>
      <protection hidden="1"/>
    </xf>
    <xf numFmtId="0" fontId="5" fillId="37" borderId="36" xfId="0" applyFont="1" applyFill="1" applyBorder="1" applyAlignment="1" applyProtection="1">
      <alignment horizontal="center" vertical="center" wrapText="1"/>
      <protection hidden="1"/>
    </xf>
    <xf numFmtId="2" fontId="5" fillId="37" borderId="36" xfId="0" applyNumberFormat="1" applyFont="1" applyFill="1" applyBorder="1" applyAlignment="1" applyProtection="1">
      <alignment horizontal="center" vertical="center" wrapText="1"/>
      <protection hidden="1"/>
    </xf>
    <xf numFmtId="171" fontId="5" fillId="37" borderId="36" xfId="0" applyNumberFormat="1" applyFont="1" applyFill="1" applyBorder="1" applyAlignment="1" applyProtection="1">
      <alignment horizontal="center" vertical="center" wrapText="1"/>
      <protection hidden="1"/>
    </xf>
    <xf numFmtId="0" fontId="5" fillId="37" borderId="43" xfId="0" applyFont="1" applyFill="1" applyBorder="1" applyAlignment="1" applyProtection="1">
      <alignment horizontal="center" vertical="center" wrapText="1"/>
      <protection hidden="1"/>
    </xf>
    <xf numFmtId="0" fontId="0" fillId="3" borderId="35" xfId="0" applyFont="1" applyFill="1" applyBorder="1" applyAlignment="1" applyProtection="1">
      <alignment horizontal="center" vertical="center" wrapText="1"/>
      <protection hidden="1"/>
    </xf>
    <xf numFmtId="0" fontId="0" fillId="3" borderId="36" xfId="0" applyFont="1" applyFill="1" applyBorder="1" applyAlignment="1" applyProtection="1">
      <alignment horizontal="center" vertical="center"/>
      <protection hidden="1"/>
    </xf>
    <xf numFmtId="0" fontId="0" fillId="3" borderId="36" xfId="0" applyFont="1" applyFill="1" applyBorder="1" applyAlignment="1" applyProtection="1">
      <alignment horizontal="center" vertical="center" wrapText="1"/>
      <protection hidden="1"/>
    </xf>
    <xf numFmtId="0" fontId="0" fillId="3" borderId="36" xfId="0" applyFont="1" applyFill="1" applyBorder="1" applyAlignment="1" applyProtection="1">
      <alignment vertical="center" wrapText="1"/>
      <protection hidden="1"/>
    </xf>
    <xf numFmtId="2" fontId="0" fillId="3" borderId="36" xfId="0" applyNumberFormat="1" applyFont="1" applyFill="1" applyBorder="1" applyAlignment="1" applyProtection="1">
      <alignment horizontal="center" vertical="center" wrapText="1"/>
      <protection hidden="1"/>
    </xf>
    <xf numFmtId="171" fontId="0" fillId="3" borderId="36" xfId="0" applyNumberFormat="1" applyFont="1" applyFill="1" applyBorder="1" applyAlignment="1" applyProtection="1">
      <alignment horizontal="right" vertical="center" wrapText="1"/>
      <protection hidden="1"/>
    </xf>
    <xf numFmtId="171" fontId="0" fillId="3" borderId="43" xfId="0" applyNumberFormat="1" applyFont="1" applyFill="1" applyBorder="1" applyAlignment="1" applyProtection="1">
      <alignment horizontal="right" vertical="center" wrapText="1"/>
      <protection hidden="1"/>
    </xf>
    <xf numFmtId="2" fontId="2" fillId="0" borderId="0" xfId="0" applyNumberFormat="1" applyFont="1" applyFill="1" applyBorder="1" applyAlignment="1" applyProtection="1">
      <alignment horizontal="center" vertical="center"/>
      <protection hidden="1"/>
    </xf>
    <xf numFmtId="171" fontId="2" fillId="0" borderId="0" xfId="0" applyNumberFormat="1" applyFont="1" applyFill="1" applyBorder="1" applyAlignment="1" applyProtection="1">
      <alignment horizontal="right" vertical="center"/>
      <protection hidden="1"/>
    </xf>
    <xf numFmtId="172" fontId="0" fillId="3" borderId="36" xfId="0" applyNumberFormat="1" applyFont="1" applyFill="1" applyBorder="1" applyAlignment="1" applyProtection="1">
      <alignment horizontal="center" vertical="center"/>
      <protection hidden="1"/>
    </xf>
    <xf numFmtId="172" fontId="0" fillId="3" borderId="36" xfId="0" applyNumberFormat="1" applyFont="1" applyFill="1" applyBorder="1" applyAlignment="1" applyProtection="1">
      <alignment horizontal="center" vertical="center" wrapText="1"/>
      <protection hidden="1"/>
    </xf>
    <xf numFmtId="49" fontId="0" fillId="3" borderId="36" xfId="0" applyNumberFormat="1" applyFont="1" applyFill="1" applyBorder="1" applyAlignment="1" applyProtection="1">
      <alignment horizontal="left" vertical="center" wrapText="1"/>
      <protection hidden="1"/>
    </xf>
    <xf numFmtId="172" fontId="0" fillId="9" borderId="35" xfId="0" applyNumberFormat="1" applyFont="1" applyFill="1" applyBorder="1" applyAlignment="1" applyProtection="1">
      <alignment horizontal="center" vertical="center" wrapText="1"/>
      <protection hidden="1"/>
    </xf>
    <xf numFmtId="172" fontId="0" fillId="9" borderId="36" xfId="0" applyNumberFormat="1" applyFont="1" applyFill="1" applyBorder="1" applyAlignment="1" applyProtection="1">
      <alignment horizontal="center" vertical="center"/>
      <protection hidden="1"/>
    </xf>
    <xf numFmtId="172" fontId="0" fillId="9" borderId="36" xfId="0" applyNumberFormat="1" applyFont="1" applyFill="1" applyBorder="1" applyAlignment="1" applyProtection="1">
      <alignment horizontal="center" vertical="center" wrapText="1"/>
      <protection hidden="1"/>
    </xf>
    <xf numFmtId="49" fontId="5" fillId="9" borderId="36" xfId="0" applyNumberFormat="1" applyFont="1" applyFill="1" applyBorder="1" applyAlignment="1" applyProtection="1">
      <alignment horizontal="center" vertical="center" wrapText="1"/>
      <protection hidden="1"/>
    </xf>
    <xf numFmtId="49" fontId="0" fillId="9" borderId="36" xfId="0" applyNumberFormat="1" applyFont="1" applyFill="1" applyBorder="1" applyAlignment="1" applyProtection="1">
      <alignment horizontal="center" vertical="center" wrapText="1"/>
      <protection hidden="1"/>
    </xf>
    <xf numFmtId="2" fontId="0" fillId="9" borderId="36" xfId="0" applyNumberFormat="1" applyFont="1" applyFill="1" applyBorder="1" applyAlignment="1" applyProtection="1">
      <alignment horizontal="center" vertical="center" wrapText="1"/>
      <protection hidden="1"/>
    </xf>
    <xf numFmtId="171" fontId="5" fillId="9" borderId="36" xfId="0" applyNumberFormat="1" applyFont="1" applyFill="1" applyBorder="1" applyAlignment="1" applyProtection="1">
      <alignment horizontal="right" vertical="center" wrapText="1"/>
      <protection hidden="1"/>
    </xf>
    <xf numFmtId="171" fontId="5" fillId="9" borderId="43" xfId="0" applyNumberFormat="1" applyFont="1" applyFill="1" applyBorder="1" applyAlignment="1" applyProtection="1">
      <alignment horizontal="right" vertical="center" wrapText="1"/>
      <protection hidden="1"/>
    </xf>
    <xf numFmtId="0" fontId="2" fillId="19" borderId="0" xfId="0" applyFont="1" applyFill="1" applyBorder="1" applyAlignment="1" applyProtection="1">
      <alignment horizontal="left"/>
      <protection hidden="1"/>
    </xf>
    <xf numFmtId="1" fontId="0" fillId="3" borderId="35" xfId="0" applyNumberFormat="1" applyFont="1" applyFill="1" applyBorder="1" applyAlignment="1" applyProtection="1">
      <alignment vertical="center" wrapText="1"/>
      <protection hidden="1"/>
    </xf>
    <xf numFmtId="1" fontId="0" fillId="3" borderId="36" xfId="0" applyNumberFormat="1" applyFont="1" applyFill="1" applyBorder="1" applyAlignment="1" applyProtection="1">
      <alignment vertical="center" wrapText="1"/>
      <protection hidden="1"/>
    </xf>
    <xf numFmtId="1" fontId="0" fillId="3" borderId="43" xfId="0" applyNumberFormat="1" applyFont="1" applyFill="1" applyBorder="1" applyAlignment="1" applyProtection="1">
      <alignment vertical="center" wrapText="1"/>
      <protection hidden="1"/>
    </xf>
    <xf numFmtId="0" fontId="5" fillId="9" borderId="35" xfId="0" applyFont="1" applyFill="1" applyBorder="1" applyAlignment="1" applyProtection="1">
      <alignment horizontal="center" vertical="center" wrapText="1"/>
      <protection hidden="1"/>
    </xf>
    <xf numFmtId="0" fontId="5" fillId="9" borderId="36" xfId="0" applyFont="1" applyFill="1" applyBorder="1" applyAlignment="1" applyProtection="1">
      <alignment horizontal="center" vertical="center"/>
      <protection hidden="1"/>
    </xf>
    <xf numFmtId="0" fontId="0" fillId="9" borderId="36" xfId="0" applyFont="1" applyFill="1" applyBorder="1" applyAlignment="1" applyProtection="1">
      <alignment horizontal="center" vertical="center" wrapText="1"/>
      <protection hidden="1"/>
    </xf>
    <xf numFmtId="0" fontId="5" fillId="9" borderId="36" xfId="0" applyFont="1" applyFill="1" applyBorder="1" applyAlignment="1" applyProtection="1">
      <alignment horizontal="center" vertical="center" wrapText="1"/>
      <protection hidden="1"/>
    </xf>
    <xf numFmtId="171" fontId="5" fillId="9" borderId="36" xfId="0" applyNumberFormat="1" applyFont="1" applyFill="1" applyBorder="1" applyAlignment="1" applyProtection="1">
      <alignment horizontal="center" vertical="center" wrapText="1"/>
      <protection hidden="1"/>
    </xf>
    <xf numFmtId="0" fontId="5" fillId="9" borderId="43" xfId="0" applyFont="1" applyFill="1" applyBorder="1" applyAlignment="1" applyProtection="1">
      <alignment horizontal="center" vertical="center" wrapText="1"/>
      <protection hidden="1"/>
    </xf>
    <xf numFmtId="1" fontId="0" fillId="3" borderId="35" xfId="0" applyNumberFormat="1" applyFont="1" applyFill="1" applyBorder="1" applyAlignment="1" applyProtection="1">
      <alignment horizontal="center" vertical="center" wrapText="1"/>
      <protection hidden="1"/>
    </xf>
    <xf numFmtId="1" fontId="0" fillId="3" borderId="36" xfId="0" applyNumberFormat="1" applyFont="1" applyFill="1" applyBorder="1" applyAlignment="1" applyProtection="1">
      <alignment horizontal="center" vertical="center"/>
      <protection hidden="1"/>
    </xf>
    <xf numFmtId="0" fontId="0" fillId="3" borderId="36" xfId="0" applyFont="1" applyFill="1" applyBorder="1" applyAlignment="1" applyProtection="1">
      <alignment horizontal="center" vertical="center" wrapText="1"/>
      <protection hidden="1"/>
    </xf>
    <xf numFmtId="1" fontId="0" fillId="3" borderId="36" xfId="0" applyNumberFormat="1" applyFont="1" applyFill="1" applyBorder="1" applyAlignment="1" applyProtection="1">
      <alignment horizontal="center" vertical="center" wrapText="1"/>
      <protection hidden="1"/>
    </xf>
    <xf numFmtId="1" fontId="0" fillId="3" borderId="36" xfId="0" applyNumberFormat="1" applyFont="1" applyFill="1" applyBorder="1" applyAlignment="1" applyProtection="1">
      <alignment horizontal="left" vertical="center" wrapText="1"/>
      <protection hidden="1"/>
    </xf>
    <xf numFmtId="1" fontId="0" fillId="3" borderId="43" xfId="0" applyNumberFormat="1" applyFont="1" applyFill="1" applyBorder="1" applyAlignment="1" applyProtection="1">
      <alignment horizontal="center" vertical="center" wrapText="1"/>
      <protection hidden="1"/>
    </xf>
    <xf numFmtId="0" fontId="2" fillId="41" borderId="0" xfId="0" applyFont="1" applyFill="1" applyBorder="1" applyAlignment="1" applyProtection="1">
      <alignment horizontal="left"/>
      <protection hidden="1"/>
    </xf>
    <xf numFmtId="0" fontId="58" fillId="3" borderId="36" xfId="0" applyFont="1" applyFill="1" applyBorder="1" applyAlignment="1" applyProtection="1">
      <alignment horizontal="center" vertical="center" wrapText="1"/>
      <protection hidden="1"/>
    </xf>
    <xf numFmtId="0" fontId="58" fillId="3" borderId="36" xfId="0" applyFont="1" applyFill="1" applyBorder="1" applyAlignment="1" applyProtection="1">
      <alignment vertical="center" wrapText="1"/>
      <protection hidden="1"/>
    </xf>
    <xf numFmtId="0" fontId="0" fillId="3" borderId="36" xfId="0" applyFont="1" applyFill="1" applyBorder="1" applyAlignment="1" applyProtection="1">
      <alignment horizontal="center" vertical="center"/>
      <protection hidden="1"/>
    </xf>
    <xf numFmtId="0" fontId="0" fillId="3" borderId="36" xfId="0" applyFont="1" applyFill="1" applyBorder="1" applyAlignment="1" applyProtection="1">
      <alignment horizontal="center" vertical="center"/>
      <protection hidden="1"/>
    </xf>
    <xf numFmtId="0" fontId="15" fillId="3" borderId="36" xfId="0" applyFont="1" applyFill="1" applyBorder="1" applyAlignment="1" applyProtection="1">
      <alignment vertical="center" wrapText="1"/>
      <protection hidden="1"/>
    </xf>
    <xf numFmtId="2" fontId="2" fillId="0" borderId="0" xfId="0" applyNumberFormat="1" applyFont="1" applyFill="1" applyBorder="1" applyAlignment="1" applyProtection="1">
      <alignment horizontal="left"/>
      <protection hidden="1"/>
    </xf>
    <xf numFmtId="0" fontId="0" fillId="3" borderId="36" xfId="0" applyFont="1" applyFill="1" applyBorder="1" applyAlignment="1" applyProtection="1">
      <alignment wrapText="1"/>
      <protection hidden="1"/>
    </xf>
    <xf numFmtId="0" fontId="0" fillId="3" borderId="0" xfId="0" applyFont="1" applyFill="1" applyBorder="1" applyAlignment="1" applyProtection="1">
      <alignment wrapText="1"/>
      <protection hidden="1"/>
    </xf>
    <xf numFmtId="1" fontId="5" fillId="9" borderId="35" xfId="0" applyNumberFormat="1" applyFont="1" applyFill="1" applyBorder="1" applyAlignment="1" applyProtection="1">
      <alignment horizontal="center" vertical="center" wrapText="1"/>
      <protection hidden="1"/>
    </xf>
    <xf numFmtId="1" fontId="5" fillId="9" borderId="36" xfId="0" applyNumberFormat="1" applyFont="1" applyFill="1" applyBorder="1" applyAlignment="1" applyProtection="1">
      <alignment horizontal="center" vertical="center"/>
      <protection hidden="1"/>
    </xf>
    <xf numFmtId="1" fontId="0" fillId="9" borderId="36" xfId="0" applyNumberFormat="1" applyFont="1" applyFill="1" applyBorder="1" applyAlignment="1" applyProtection="1">
      <alignment horizontal="center" vertical="center" wrapText="1"/>
      <protection hidden="1"/>
    </xf>
    <xf numFmtId="1" fontId="5" fillId="9" borderId="36" xfId="0" applyNumberFormat="1" applyFont="1" applyFill="1" applyBorder="1" applyAlignment="1" applyProtection="1">
      <alignment horizontal="center" vertical="center" wrapText="1"/>
      <protection hidden="1"/>
    </xf>
    <xf numFmtId="171" fontId="0" fillId="9" borderId="36" xfId="0" applyNumberFormat="1" applyFont="1" applyFill="1" applyBorder="1" applyAlignment="1" applyProtection="1">
      <alignment horizontal="right" vertical="center" wrapText="1"/>
      <protection hidden="1"/>
    </xf>
    <xf numFmtId="1" fontId="5" fillId="9" borderId="43" xfId="0" applyNumberFormat="1" applyFont="1" applyFill="1" applyBorder="1" applyAlignment="1" applyProtection="1">
      <alignment horizontal="center" vertical="center" wrapText="1"/>
      <protection hidden="1"/>
    </xf>
    <xf numFmtId="0" fontId="2" fillId="33" borderId="0" xfId="0" applyFont="1" applyFill="1" applyBorder="1" applyAlignment="1" applyProtection="1">
      <alignment horizontal="left"/>
      <protection hidden="1"/>
    </xf>
    <xf numFmtId="0" fontId="0" fillId="3" borderId="36" xfId="0" applyFont="1" applyFill="1" applyBorder="1" applyAlignment="1" applyProtection="1">
      <alignment wrapText="1"/>
      <protection hidden="1"/>
    </xf>
    <xf numFmtId="0" fontId="0" fillId="3" borderId="36" xfId="0" applyFont="1" applyFill="1" applyBorder="1" applyAlignment="1" applyProtection="1">
      <alignment vertical="center" wrapText="1"/>
      <protection hidden="1"/>
    </xf>
    <xf numFmtId="172" fontId="0" fillId="3" borderId="35" xfId="0" applyNumberFormat="1" applyFont="1" applyFill="1" applyBorder="1" applyAlignment="1" applyProtection="1">
      <alignment horizontal="center" vertical="center" wrapText="1"/>
      <protection hidden="1"/>
    </xf>
    <xf numFmtId="49" fontId="5" fillId="3" borderId="36" xfId="0" applyNumberFormat="1" applyFont="1" applyFill="1" applyBorder="1" applyAlignment="1" applyProtection="1">
      <alignment horizontal="center" vertical="center" wrapText="1"/>
      <protection hidden="1"/>
    </xf>
    <xf numFmtId="49" fontId="0" fillId="3" borderId="36" xfId="0" applyNumberFormat="1" applyFont="1" applyFill="1" applyBorder="1" applyAlignment="1" applyProtection="1">
      <alignment horizontal="center" vertical="center" wrapText="1"/>
      <protection hidden="1"/>
    </xf>
    <xf numFmtId="171" fontId="5" fillId="3" borderId="36" xfId="0" applyNumberFormat="1" applyFont="1" applyFill="1" applyBorder="1" applyAlignment="1" applyProtection="1">
      <alignment horizontal="right" vertical="center" wrapText="1"/>
      <protection hidden="1"/>
    </xf>
    <xf numFmtId="171" fontId="5" fillId="3" borderId="43" xfId="0" applyNumberFormat="1" applyFont="1" applyFill="1" applyBorder="1" applyAlignment="1" applyProtection="1">
      <alignment horizontal="right" vertical="center" wrapText="1"/>
      <protection hidden="1"/>
    </xf>
    <xf numFmtId="0" fontId="0" fillId="9" borderId="36" xfId="0" applyFont="1" applyFill="1" applyBorder="1" applyAlignment="1" applyProtection="1">
      <alignment horizontal="center" vertical="center"/>
      <protection hidden="1"/>
    </xf>
    <xf numFmtId="0" fontId="0" fillId="36" borderId="35" xfId="0" applyFont="1" applyFill="1" applyBorder="1" applyAlignment="1" applyProtection="1">
      <alignment horizontal="center" vertical="center" wrapText="1"/>
      <protection hidden="1"/>
    </xf>
    <xf numFmtId="0" fontId="0" fillId="36" borderId="36" xfId="50" applyFont="1" applyFill="1" applyBorder="1" applyAlignment="1" applyProtection="1">
      <alignment horizontal="center" vertical="center"/>
      <protection hidden="1"/>
    </xf>
    <xf numFmtId="0" fontId="0" fillId="36" borderId="36" xfId="50" applyFont="1" applyFill="1" applyBorder="1" applyAlignment="1" applyProtection="1">
      <alignment horizontal="center" vertical="center" wrapText="1"/>
      <protection hidden="1"/>
    </xf>
    <xf numFmtId="0" fontId="0" fillId="36" borderId="36" xfId="0" applyFill="1" applyBorder="1" applyAlignment="1" applyProtection="1">
      <alignment horizontal="center" vertical="center"/>
      <protection hidden="1"/>
    </xf>
    <xf numFmtId="0" fontId="0" fillId="36" borderId="36" xfId="0" applyFill="1" applyBorder="1" applyAlignment="1" applyProtection="1">
      <alignment vertical="center" wrapText="1"/>
      <protection hidden="1"/>
    </xf>
    <xf numFmtId="2" fontId="0" fillId="36" borderId="36" xfId="0" applyNumberFormat="1" applyFont="1" applyFill="1" applyBorder="1" applyAlignment="1" applyProtection="1">
      <alignment horizontal="center" vertical="center" wrapText="1"/>
      <protection hidden="1"/>
    </xf>
    <xf numFmtId="171" fontId="0" fillId="36" borderId="36" xfId="0" applyNumberFormat="1" applyFont="1" applyFill="1" applyBorder="1" applyAlignment="1" applyProtection="1">
      <alignment horizontal="right" vertical="center" wrapText="1"/>
      <protection hidden="1"/>
    </xf>
    <xf numFmtId="171" fontId="5" fillId="36" borderId="43" xfId="48" applyNumberFormat="1" applyFont="1" applyFill="1" applyBorder="1" applyAlignment="1" applyProtection="1">
      <alignment horizontal="right" vertical="center" wrapText="1"/>
      <protection hidden="1"/>
    </xf>
    <xf numFmtId="0" fontId="0" fillId="9" borderId="35" xfId="0" applyFont="1" applyFill="1" applyBorder="1" applyAlignment="1" applyProtection="1">
      <alignment horizontal="center" vertical="center" wrapText="1"/>
      <protection hidden="1"/>
    </xf>
    <xf numFmtId="0" fontId="5" fillId="3" borderId="36" xfId="0" applyFont="1" applyFill="1" applyBorder="1" applyAlignment="1" applyProtection="1">
      <alignment horizontal="center" vertical="center" wrapText="1"/>
      <protection hidden="1"/>
    </xf>
    <xf numFmtId="171" fontId="0" fillId="9" borderId="36" xfId="0" applyNumberFormat="1" applyFont="1" applyFill="1" applyBorder="1" applyAlignment="1" applyProtection="1">
      <alignment horizontal="center" vertical="center" wrapText="1"/>
      <protection hidden="1"/>
    </xf>
    <xf numFmtId="171" fontId="0" fillId="9" borderId="43" xfId="0" applyNumberFormat="1" applyFont="1" applyFill="1" applyBorder="1" applyAlignment="1" applyProtection="1">
      <alignment horizontal="center" vertical="center" wrapText="1"/>
      <protection hidden="1"/>
    </xf>
    <xf numFmtId="0" fontId="0" fillId="36" borderId="36" xfId="0" applyFont="1" applyFill="1" applyBorder="1" applyAlignment="1" applyProtection="1">
      <alignment horizontal="center" vertical="center"/>
      <protection hidden="1"/>
    </xf>
    <xf numFmtId="0" fontId="0" fillId="36" borderId="36" xfId="0" applyFont="1" applyFill="1" applyBorder="1" applyAlignment="1" applyProtection="1">
      <alignment horizontal="center" vertical="center" wrapText="1"/>
      <protection hidden="1"/>
    </xf>
    <xf numFmtId="0" fontId="0" fillId="36" borderId="36" xfId="0" applyFont="1" applyFill="1" applyBorder="1" applyAlignment="1" applyProtection="1">
      <alignment horizontal="left" vertical="center" wrapText="1"/>
      <protection hidden="1"/>
    </xf>
    <xf numFmtId="1" fontId="0" fillId="36" borderId="36" xfId="0" applyNumberFormat="1" applyFont="1" applyFill="1" applyBorder="1" applyAlignment="1" applyProtection="1">
      <alignment horizontal="center" vertical="center" wrapText="1"/>
      <protection hidden="1"/>
    </xf>
    <xf numFmtId="171" fontId="0" fillId="36" borderId="36" xfId="0" applyNumberFormat="1" applyFont="1" applyFill="1" applyBorder="1" applyAlignment="1" applyProtection="1">
      <alignment horizontal="center" vertical="center" wrapText="1"/>
      <protection hidden="1"/>
    </xf>
    <xf numFmtId="1" fontId="0" fillId="36" borderId="43"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171" fontId="2" fillId="0" borderId="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3" borderId="36" xfId="0" applyFont="1" applyFill="1" applyBorder="1" applyAlignment="1" applyProtection="1">
      <alignment horizontal="left" vertical="center" wrapText="1"/>
      <protection hidden="1"/>
    </xf>
    <xf numFmtId="171" fontId="0" fillId="3" borderId="36" xfId="0" applyNumberFormat="1" applyFont="1" applyFill="1" applyBorder="1" applyAlignment="1" applyProtection="1">
      <alignment horizontal="center" vertical="center" wrapText="1"/>
      <protection hidden="1"/>
    </xf>
    <xf numFmtId="1" fontId="0" fillId="3" borderId="89" xfId="0" applyNumberFormat="1" applyFont="1" applyFill="1" applyBorder="1" applyAlignment="1" applyProtection="1">
      <alignment vertical="center" wrapText="1"/>
      <protection hidden="1"/>
    </xf>
    <xf numFmtId="1" fontId="0" fillId="3" borderId="47" xfId="0" applyNumberFormat="1" applyFont="1" applyFill="1" applyBorder="1" applyAlignment="1" applyProtection="1">
      <alignment vertical="center" wrapText="1"/>
      <protection hidden="1"/>
    </xf>
    <xf numFmtId="1" fontId="0" fillId="3" borderId="48" xfId="0" applyNumberFormat="1" applyFont="1" applyFill="1" applyBorder="1" applyAlignment="1" applyProtection="1">
      <alignment vertical="center" wrapText="1"/>
      <protection hidden="1"/>
    </xf>
    <xf numFmtId="2" fontId="0" fillId="3" borderId="89" xfId="0" applyNumberFormat="1" applyFont="1" applyFill="1" applyBorder="1" applyAlignment="1" applyProtection="1">
      <alignment vertical="center" wrapText="1"/>
      <protection hidden="1"/>
    </xf>
    <xf numFmtId="2" fontId="0" fillId="3" borderId="47" xfId="0" applyNumberFormat="1" applyFont="1" applyFill="1" applyBorder="1" applyAlignment="1" applyProtection="1">
      <alignment vertical="center" wrapText="1"/>
      <protection hidden="1"/>
    </xf>
    <xf numFmtId="2" fontId="0" fillId="3" borderId="48" xfId="0" applyNumberFormat="1" applyFont="1" applyFill="1" applyBorder="1" applyAlignment="1" applyProtection="1">
      <alignment vertical="center" wrapText="1"/>
      <protection hidden="1"/>
    </xf>
    <xf numFmtId="2" fontId="0" fillId="3" borderId="36" xfId="0" applyNumberFormat="1" applyFill="1" applyBorder="1" applyAlignment="1" applyProtection="1">
      <alignment horizontal="center" vertical="center"/>
      <protection hidden="1"/>
    </xf>
    <xf numFmtId="0" fontId="0" fillId="3" borderId="36" xfId="0" applyFill="1" applyBorder="1" applyAlignment="1" applyProtection="1">
      <alignment horizontal="center" vertical="center"/>
      <protection hidden="1"/>
    </xf>
    <xf numFmtId="0" fontId="0" fillId="3" borderId="0" xfId="0" applyFill="1" applyBorder="1" applyAlignment="1" applyProtection="1">
      <alignment horizontal="left" vertical="center" wrapText="1"/>
      <protection hidden="1"/>
    </xf>
    <xf numFmtId="0" fontId="0" fillId="3" borderId="0" xfId="0" applyFill="1" applyBorder="1" applyAlignment="1" applyProtection="1">
      <alignment vertical="center"/>
      <protection hidden="1"/>
    </xf>
    <xf numFmtId="0" fontId="0" fillId="3" borderId="36" xfId="0" applyFill="1" applyBorder="1" applyAlignment="1" applyProtection="1">
      <alignment horizontal="left" vertical="center" wrapText="1"/>
      <protection hidden="1"/>
    </xf>
    <xf numFmtId="0" fontId="0" fillId="3" borderId="35" xfId="0" applyFont="1" applyFill="1" applyBorder="1" applyAlignment="1" applyProtection="1">
      <alignment vertical="center" wrapText="1"/>
      <protection hidden="1"/>
    </xf>
    <xf numFmtId="0" fontId="0" fillId="3" borderId="36" xfId="0" applyFont="1" applyFill="1" applyBorder="1" applyAlignment="1" applyProtection="1">
      <alignment vertical="center"/>
      <protection hidden="1"/>
    </xf>
    <xf numFmtId="0" fontId="0" fillId="3" borderId="43" xfId="0" applyFont="1" applyFill="1" applyBorder="1" applyAlignment="1" applyProtection="1">
      <alignment vertical="center" wrapText="1"/>
      <protection hidden="1"/>
    </xf>
    <xf numFmtId="0" fontId="0" fillId="3" borderId="36"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protection hidden="1"/>
    </xf>
    <xf numFmtId="0" fontId="9" fillId="0" borderId="0" xfId="0" applyFont="1" applyBorder="1" applyAlignment="1" applyProtection="1">
      <alignment horizontal="left"/>
      <protection hidden="1"/>
    </xf>
    <xf numFmtId="0" fontId="0" fillId="3" borderId="41" xfId="0" applyFont="1" applyFill="1" applyBorder="1" applyAlignment="1" applyProtection="1">
      <alignment horizontal="center" vertical="center" wrapText="1"/>
      <protection hidden="1"/>
    </xf>
    <xf numFmtId="0" fontId="0" fillId="3" borderId="36" xfId="0" applyFill="1" applyBorder="1" applyAlignment="1" applyProtection="1">
      <alignment vertical="center"/>
      <protection hidden="1"/>
    </xf>
    <xf numFmtId="0" fontId="0" fillId="3" borderId="36" xfId="0" applyFill="1" applyBorder="1" applyAlignment="1" applyProtection="1">
      <alignment vertical="center" wrapText="1"/>
      <protection hidden="1"/>
    </xf>
    <xf numFmtId="0" fontId="0" fillId="3" borderId="0" xfId="0" applyFill="1" applyBorder="1" applyAlignment="1" applyProtection="1">
      <alignment wrapText="1"/>
      <protection hidden="1"/>
    </xf>
    <xf numFmtId="0" fontId="2" fillId="35" borderId="0" xfId="0" applyFont="1" applyFill="1" applyBorder="1" applyAlignment="1" applyProtection="1">
      <alignment horizontal="left"/>
      <protection hidden="1"/>
    </xf>
    <xf numFmtId="171" fontId="2" fillId="35" borderId="0" xfId="0" applyNumberFormat="1" applyFont="1" applyFill="1" applyBorder="1" applyAlignment="1" applyProtection="1">
      <alignment horizontal="right" vertical="center"/>
      <protection hidden="1"/>
    </xf>
    <xf numFmtId="0" fontId="5" fillId="3" borderId="35" xfId="0" applyFont="1" applyFill="1" applyBorder="1" applyAlignment="1" applyProtection="1">
      <alignment vertical="center" wrapText="1"/>
      <protection hidden="1"/>
    </xf>
    <xf numFmtId="0" fontId="5" fillId="3" borderId="36" xfId="0" applyFont="1" applyFill="1" applyBorder="1" applyAlignment="1" applyProtection="1">
      <alignment vertical="center"/>
      <protection hidden="1"/>
    </xf>
    <xf numFmtId="0" fontId="5" fillId="3" borderId="36" xfId="0" applyFont="1" applyFill="1" applyBorder="1" applyAlignment="1" applyProtection="1">
      <alignment vertical="center" wrapText="1"/>
      <protection hidden="1"/>
    </xf>
    <xf numFmtId="0" fontId="5" fillId="3" borderId="43" xfId="0" applyFont="1" applyFill="1" applyBorder="1" applyAlignment="1" applyProtection="1">
      <alignment vertical="center" wrapText="1"/>
      <protection hidden="1"/>
    </xf>
    <xf numFmtId="2" fontId="0" fillId="37" borderId="36" xfId="0" applyNumberFormat="1" applyFont="1" applyFill="1" applyBorder="1" applyAlignment="1" applyProtection="1">
      <alignment horizontal="center" vertical="center" wrapText="1"/>
      <protection hidden="1"/>
    </xf>
    <xf numFmtId="171" fontId="0" fillId="37" borderId="36" xfId="0" applyNumberFormat="1" applyFont="1" applyFill="1" applyBorder="1" applyAlignment="1" applyProtection="1">
      <alignment horizontal="center" vertical="center" wrapText="1"/>
      <protection hidden="1"/>
    </xf>
    <xf numFmtId="171" fontId="0" fillId="37" borderId="43" xfId="0" applyNumberFormat="1" applyFont="1" applyFill="1" applyBorder="1" applyAlignment="1" applyProtection="1">
      <alignment horizontal="center" vertical="center" wrapText="1"/>
      <protection hidden="1"/>
    </xf>
    <xf numFmtId="0" fontId="0" fillId="41" borderId="36" xfId="0" applyFont="1" applyFill="1" applyBorder="1" applyAlignment="1" applyProtection="1">
      <alignment horizontal="center" vertical="center" wrapText="1"/>
      <protection hidden="1"/>
    </xf>
    <xf numFmtId="2" fontId="0" fillId="3" borderId="38" xfId="0" applyNumberFormat="1" applyFont="1" applyFill="1" applyBorder="1" applyAlignment="1" applyProtection="1">
      <alignment horizontal="center" vertical="center" wrapText="1"/>
      <protection hidden="1"/>
    </xf>
    <xf numFmtId="171" fontId="0" fillId="3" borderId="38" xfId="0" applyNumberFormat="1" applyFont="1" applyFill="1" applyBorder="1" applyAlignment="1" applyProtection="1">
      <alignment horizontal="right" vertical="center" wrapText="1"/>
      <protection hidden="1"/>
    </xf>
    <xf numFmtId="171" fontId="0" fillId="3" borderId="90" xfId="0" applyNumberFormat="1" applyFont="1" applyFill="1" applyBorder="1" applyAlignment="1" applyProtection="1">
      <alignment horizontal="right" vertical="center" wrapText="1"/>
      <protection hidden="1"/>
    </xf>
    <xf numFmtId="0" fontId="0" fillId="3" borderId="39" xfId="0" applyFill="1" applyBorder="1" applyAlignment="1" applyProtection="1">
      <alignment horizontal="center" vertical="center"/>
      <protection hidden="1"/>
    </xf>
    <xf numFmtId="0" fontId="0" fillId="3" borderId="39" xfId="0" applyFill="1" applyBorder="1" applyAlignment="1" applyProtection="1">
      <alignment wrapText="1"/>
      <protection hidden="1"/>
    </xf>
    <xf numFmtId="0" fontId="0" fillId="3" borderId="39" xfId="0" applyFont="1" applyFill="1" applyBorder="1" applyAlignment="1" applyProtection="1">
      <alignment horizontal="center" vertical="center" wrapText="1"/>
      <protection hidden="1"/>
    </xf>
    <xf numFmtId="2" fontId="0" fillId="3" borderId="39" xfId="0" applyNumberFormat="1" applyFont="1" applyFill="1" applyBorder="1" applyAlignment="1" applyProtection="1">
      <alignment horizontal="center" vertical="center" wrapText="1"/>
      <protection hidden="1"/>
    </xf>
    <xf numFmtId="0" fontId="0" fillId="3" borderId="43" xfId="0" applyFont="1" applyFill="1" applyBorder="1" applyAlignment="1" applyProtection="1">
      <alignment horizontal="center" vertical="center" wrapText="1"/>
      <protection hidden="1"/>
    </xf>
    <xf numFmtId="0" fontId="0" fillId="3" borderId="36" xfId="0" applyFill="1" applyBorder="1" applyAlignment="1" applyProtection="1">
      <alignment wrapText="1"/>
      <protection hidden="1"/>
    </xf>
    <xf numFmtId="0" fontId="2" fillId="3" borderId="43" xfId="0" applyFont="1" applyFill="1" applyBorder="1" applyAlignment="1" applyProtection="1">
      <alignment horizontal="left"/>
      <protection hidden="1"/>
    </xf>
    <xf numFmtId="171" fontId="10" fillId="3" borderId="43" xfId="0" applyNumberFormat="1" applyFont="1" applyFill="1" applyBorder="1" applyAlignment="1" applyProtection="1">
      <alignment horizontal="right" vertical="center" wrapText="1"/>
      <protection hidden="1"/>
    </xf>
    <xf numFmtId="0" fontId="0" fillId="26" borderId="36" xfId="0" applyFont="1" applyFill="1" applyBorder="1" applyAlignment="1" applyProtection="1">
      <alignment horizontal="center" vertical="center"/>
      <protection hidden="1"/>
    </xf>
    <xf numFmtId="2" fontId="0" fillId="36" borderId="36" xfId="0" applyNumberFormat="1" applyFont="1" applyFill="1" applyBorder="1" applyAlignment="1" applyProtection="1">
      <alignment horizontal="right" vertical="center" wrapText="1"/>
      <protection hidden="1"/>
    </xf>
    <xf numFmtId="171" fontId="10" fillId="36" borderId="43" xfId="0" applyNumberFormat="1" applyFont="1" applyFill="1" applyBorder="1" applyAlignment="1" applyProtection="1">
      <alignment horizontal="right" vertical="center" wrapText="1"/>
      <protection hidden="1"/>
    </xf>
    <xf numFmtId="0" fontId="0" fillId="9" borderId="35" xfId="50" applyFont="1" applyFill="1" applyBorder="1" applyAlignment="1" applyProtection="1">
      <alignment horizontal="center" vertical="center" wrapText="1"/>
      <protection hidden="1"/>
    </xf>
    <xf numFmtId="0" fontId="0" fillId="9" borderId="36" xfId="50" applyFont="1" applyFill="1" applyBorder="1" applyAlignment="1" applyProtection="1">
      <alignment horizontal="center" vertical="center"/>
      <protection hidden="1"/>
    </xf>
    <xf numFmtId="0" fontId="0" fillId="9" borderId="36" xfId="50" applyFont="1" applyFill="1" applyBorder="1" applyAlignment="1" applyProtection="1">
      <alignment horizontal="center" vertical="center" wrapText="1"/>
      <protection hidden="1"/>
    </xf>
    <xf numFmtId="171" fontId="5" fillId="9" borderId="43" xfId="46" applyNumberFormat="1" applyFont="1" applyFill="1" applyBorder="1" applyAlignment="1" applyProtection="1">
      <alignment horizontal="right" vertical="center" wrapText="1"/>
      <protection hidden="1"/>
    </xf>
    <xf numFmtId="0" fontId="0" fillId="36" borderId="35" xfId="50" applyFont="1" applyFill="1" applyBorder="1" applyAlignment="1" applyProtection="1">
      <alignment horizontal="center" vertical="center" wrapText="1"/>
      <protection hidden="1"/>
    </xf>
    <xf numFmtId="0" fontId="0" fillId="36" borderId="41" xfId="50" applyFont="1" applyFill="1" applyBorder="1" applyAlignment="1" applyProtection="1">
      <alignment horizontal="center" vertical="center" wrapText="1"/>
      <protection hidden="1"/>
    </xf>
    <xf numFmtId="0" fontId="5" fillId="36" borderId="47" xfId="0" applyFont="1" applyFill="1" applyBorder="1" applyAlignment="1" applyProtection="1">
      <alignment horizontal="center" vertical="center" wrapText="1"/>
      <protection hidden="1"/>
    </xf>
    <xf numFmtId="2" fontId="0" fillId="36" borderId="47" xfId="0" applyNumberFormat="1" applyFont="1" applyFill="1" applyBorder="1" applyAlignment="1" applyProtection="1">
      <alignment horizontal="center" vertical="center" wrapText="1"/>
      <protection hidden="1"/>
    </xf>
    <xf numFmtId="171" fontId="5" fillId="36" borderId="47" xfId="0" applyNumberFormat="1" applyFont="1" applyFill="1" applyBorder="1" applyAlignment="1" applyProtection="1">
      <alignment horizontal="right" vertical="center" wrapText="1"/>
      <protection hidden="1"/>
    </xf>
    <xf numFmtId="171" fontId="5" fillId="36" borderId="43" xfId="46" applyNumberFormat="1" applyFont="1" applyFill="1" applyBorder="1" applyAlignment="1" applyProtection="1">
      <alignment horizontal="right" vertical="center" wrapText="1"/>
      <protection hidden="1"/>
    </xf>
    <xf numFmtId="0" fontId="5" fillId="9" borderId="35" xfId="50" applyFont="1" applyFill="1" applyBorder="1" applyAlignment="1" applyProtection="1">
      <alignment horizontal="center" vertical="center" wrapText="1"/>
      <protection hidden="1"/>
    </xf>
    <xf numFmtId="0" fontId="5" fillId="9" borderId="36" xfId="50" applyFont="1" applyFill="1" applyBorder="1" applyAlignment="1" applyProtection="1">
      <alignment horizontal="center" vertical="center"/>
      <protection hidden="1"/>
    </xf>
    <xf numFmtId="0" fontId="5" fillId="9" borderId="36" xfId="50" applyFont="1" applyFill="1" applyBorder="1" applyAlignment="1" applyProtection="1">
      <alignment horizontal="center" vertical="center" wrapText="1"/>
      <protection hidden="1"/>
    </xf>
    <xf numFmtId="2" fontId="0" fillId="9" borderId="36" xfId="50" applyNumberFormat="1" applyFont="1" applyFill="1" applyBorder="1" applyAlignment="1" applyProtection="1">
      <alignment horizontal="center" vertical="center" wrapText="1"/>
      <protection hidden="1"/>
    </xf>
    <xf numFmtId="171" fontId="0" fillId="9" borderId="36" xfId="50" applyNumberFormat="1" applyFont="1" applyFill="1" applyBorder="1" applyAlignment="1" applyProtection="1">
      <alignment horizontal="right" vertical="center" wrapText="1"/>
      <protection hidden="1"/>
    </xf>
    <xf numFmtId="171" fontId="10" fillId="9" borderId="43" xfId="50" applyNumberFormat="1" applyFont="1" applyFill="1" applyBorder="1" applyAlignment="1" applyProtection="1">
      <alignment horizontal="right" vertical="center" wrapText="1"/>
      <protection hidden="1"/>
    </xf>
    <xf numFmtId="0" fontId="2" fillId="0" borderId="0" xfId="50" applyFont="1" applyFill="1" applyBorder="1" applyAlignment="1" applyProtection="1">
      <alignment horizontal="left"/>
      <protection hidden="1"/>
    </xf>
    <xf numFmtId="171" fontId="2" fillId="0" borderId="0" xfId="50" applyNumberFormat="1" applyFont="1" applyFill="1" applyBorder="1" applyAlignment="1" applyProtection="1">
      <alignment horizontal="right" vertical="center"/>
      <protection hidden="1"/>
    </xf>
    <xf numFmtId="0" fontId="0" fillId="3" borderId="42" xfId="50" applyFont="1" applyFill="1" applyBorder="1" applyAlignment="1" applyProtection="1">
      <alignment horizontal="center" vertical="center" wrapText="1"/>
      <protection hidden="1"/>
    </xf>
    <xf numFmtId="0" fontId="0" fillId="3" borderId="10" xfId="50" applyNumberFormat="1" applyFont="1" applyFill="1" applyBorder="1" applyAlignment="1" applyProtection="1">
      <alignment horizontal="center" vertical="center" wrapText="1"/>
      <protection hidden="1"/>
    </xf>
    <xf numFmtId="0" fontId="0" fillId="3" borderId="36" xfId="50" applyFont="1" applyFill="1" applyBorder="1" applyAlignment="1" applyProtection="1">
      <alignment horizontal="center" vertical="center" wrapText="1"/>
      <protection hidden="1"/>
    </xf>
    <xf numFmtId="0" fontId="0" fillId="3" borderId="36" xfId="50" applyFont="1" applyFill="1" applyBorder="1" applyAlignment="1" applyProtection="1">
      <alignment horizontal="left" vertical="center" wrapText="1"/>
      <protection hidden="1"/>
    </xf>
    <xf numFmtId="0" fontId="0" fillId="3" borderId="36" xfId="50" applyNumberFormat="1" applyFont="1" applyFill="1" applyBorder="1" applyAlignment="1" applyProtection="1">
      <alignment horizontal="center" vertical="center" wrapText="1"/>
      <protection hidden="1"/>
    </xf>
    <xf numFmtId="171" fontId="10" fillId="3" borderId="43" xfId="50" applyNumberFormat="1" applyFont="1" applyFill="1" applyBorder="1" applyAlignment="1" applyProtection="1">
      <alignment horizontal="right" vertical="center" wrapText="1"/>
      <protection hidden="1"/>
    </xf>
    <xf numFmtId="0" fontId="2" fillId="35" borderId="0" xfId="50" applyFont="1" applyFill="1" applyBorder="1" applyAlignment="1" applyProtection="1">
      <alignment horizontal="left"/>
      <protection hidden="1"/>
    </xf>
    <xf numFmtId="171" fontId="2" fillId="35" borderId="0" xfId="50" applyNumberFormat="1" applyFont="1" applyFill="1" applyBorder="1" applyAlignment="1" applyProtection="1">
      <alignment horizontal="right" vertical="center"/>
      <protection hidden="1"/>
    </xf>
    <xf numFmtId="0" fontId="0" fillId="3" borderId="0" xfId="50" applyFont="1" applyFill="1" applyBorder="1" applyAlignment="1" applyProtection="1">
      <alignment horizontal="center" vertical="center" wrapText="1"/>
      <protection hidden="1"/>
    </xf>
    <xf numFmtId="0" fontId="0" fillId="3" borderId="0" xfId="0" applyFill="1" applyBorder="1" applyAlignment="1" applyProtection="1">
      <alignment horizontal="left" wrapText="1"/>
      <protection hidden="1"/>
    </xf>
    <xf numFmtId="1" fontId="0" fillId="3" borderId="36" xfId="50" applyNumberFormat="1" applyFont="1" applyFill="1" applyBorder="1" applyAlignment="1" applyProtection="1">
      <alignment horizontal="center" vertical="center" wrapText="1"/>
      <protection hidden="1"/>
    </xf>
    <xf numFmtId="0" fontId="0" fillId="3" borderId="0" xfId="50" applyNumberFormat="1" applyFont="1" applyFill="1" applyBorder="1" applyAlignment="1" applyProtection="1">
      <alignment horizontal="center" vertical="center" wrapText="1"/>
      <protection hidden="1"/>
    </xf>
    <xf numFmtId="2" fontId="0" fillId="3" borderId="38" xfId="50" applyNumberFormat="1" applyFont="1" applyFill="1" applyBorder="1" applyAlignment="1" applyProtection="1">
      <alignment horizontal="center" vertical="center" wrapText="1"/>
      <protection hidden="1"/>
    </xf>
    <xf numFmtId="0" fontId="0" fillId="3" borderId="36" xfId="50" applyFont="1" applyFill="1" applyBorder="1" applyAlignment="1" applyProtection="1">
      <alignment horizontal="center" vertical="center"/>
      <protection hidden="1"/>
    </xf>
    <xf numFmtId="2" fontId="0" fillId="3" borderId="36" xfId="50" applyNumberFormat="1" applyFont="1" applyFill="1" applyBorder="1" applyAlignment="1" applyProtection="1">
      <alignment horizontal="center" vertical="center" wrapText="1"/>
      <protection hidden="1"/>
    </xf>
    <xf numFmtId="171" fontId="0" fillId="3" borderId="43" xfId="50" applyNumberFormat="1" applyFont="1" applyFill="1" applyBorder="1" applyAlignment="1" applyProtection="1">
      <alignment horizontal="right" vertical="center" wrapText="1"/>
      <protection hidden="1"/>
    </xf>
    <xf numFmtId="0" fontId="0" fillId="3" borderId="0" xfId="0" applyFont="1" applyFill="1" applyBorder="1" applyAlignment="1" applyProtection="1">
      <alignment horizontal="center" vertical="center"/>
      <protection hidden="1"/>
    </xf>
    <xf numFmtId="0" fontId="45" fillId="3" borderId="43" xfId="44" applyFill="1" applyBorder="1" applyAlignment="1" applyProtection="1">
      <alignment/>
      <protection hidden="1"/>
    </xf>
    <xf numFmtId="0" fontId="0" fillId="3" borderId="36" xfId="0" applyFill="1" applyBorder="1" applyAlignment="1" applyProtection="1">
      <alignment horizontal="center"/>
      <protection hidden="1"/>
    </xf>
    <xf numFmtId="0" fontId="0" fillId="3" borderId="0" xfId="0" applyFill="1" applyBorder="1" applyAlignment="1" applyProtection="1">
      <alignment/>
      <protection hidden="1"/>
    </xf>
    <xf numFmtId="171" fontId="5" fillId="19" borderId="0" xfId="0" applyNumberFormat="1" applyFont="1" applyFill="1" applyBorder="1" applyAlignment="1" applyProtection="1">
      <alignment horizontal="right" vertical="center" wrapText="1"/>
      <protection hidden="1"/>
    </xf>
    <xf numFmtId="171" fontId="2" fillId="19" borderId="0" xfId="50" applyNumberFormat="1" applyFont="1" applyFill="1" applyBorder="1" applyAlignment="1" applyProtection="1">
      <alignment horizontal="right" vertical="center"/>
      <protection hidden="1"/>
    </xf>
    <xf numFmtId="0" fontId="2" fillId="19" borderId="0" xfId="50" applyFont="1" applyFill="1" applyBorder="1" applyAlignment="1" applyProtection="1">
      <alignment horizontal="left"/>
      <protection hidden="1"/>
    </xf>
    <xf numFmtId="0" fontId="0" fillId="3" borderId="35" xfId="50" applyFont="1" applyFill="1" applyBorder="1" applyAlignment="1" applyProtection="1">
      <alignment horizontal="center" vertical="center" wrapText="1"/>
      <protection hidden="1"/>
    </xf>
    <xf numFmtId="171" fontId="5" fillId="3" borderId="43" xfId="46" applyNumberFormat="1" applyFont="1" applyFill="1" applyBorder="1" applyAlignment="1" applyProtection="1">
      <alignment horizontal="right" vertical="center" wrapText="1"/>
      <protection hidden="1"/>
    </xf>
    <xf numFmtId="171" fontId="5" fillId="0" borderId="0" xfId="0" applyNumberFormat="1" applyFont="1" applyFill="1" applyBorder="1" applyAlignment="1" applyProtection="1">
      <alignment horizontal="right" vertical="center" wrapText="1"/>
      <protection hidden="1"/>
    </xf>
    <xf numFmtId="171" fontId="0" fillId="9" borderId="36" xfId="50" applyNumberFormat="1" applyFont="1" applyFill="1" applyBorder="1" applyAlignment="1" applyProtection="1">
      <alignment horizontal="center" vertical="center" wrapText="1"/>
      <protection hidden="1"/>
    </xf>
    <xf numFmtId="171" fontId="0" fillId="9" borderId="43" xfId="50" applyNumberFormat="1" applyFont="1" applyFill="1" applyBorder="1" applyAlignment="1" applyProtection="1">
      <alignment horizontal="center" vertical="center" wrapText="1"/>
      <protection hidden="1"/>
    </xf>
    <xf numFmtId="0" fontId="0" fillId="3" borderId="37" xfId="50" applyFont="1" applyFill="1" applyBorder="1" applyAlignment="1" applyProtection="1">
      <alignment horizontal="center" vertical="center" wrapText="1"/>
      <protection hidden="1"/>
    </xf>
    <xf numFmtId="0" fontId="0" fillId="3" borderId="0" xfId="0" applyFill="1" applyBorder="1" applyAlignment="1" applyProtection="1">
      <alignment horizontal="center" vertical="center"/>
      <protection hidden="1"/>
    </xf>
    <xf numFmtId="0" fontId="0" fillId="3" borderId="37" xfId="0" applyFill="1" applyBorder="1" applyAlignment="1" applyProtection="1">
      <alignment/>
      <protection hidden="1"/>
    </xf>
    <xf numFmtId="2" fontId="0" fillId="3" borderId="37" xfId="0" applyNumberFormat="1" applyFont="1" applyFill="1" applyBorder="1" applyAlignment="1" applyProtection="1">
      <alignment horizontal="center" vertical="center" wrapText="1"/>
      <protection hidden="1"/>
    </xf>
    <xf numFmtId="0" fontId="0" fillId="3" borderId="38" xfId="0" applyFont="1" applyFill="1" applyBorder="1" applyAlignment="1" applyProtection="1">
      <alignment horizontal="center" vertical="center"/>
      <protection hidden="1"/>
    </xf>
    <xf numFmtId="2" fontId="0" fillId="3" borderId="38" xfId="0" applyNumberFormat="1" applyFont="1" applyFill="1" applyBorder="1" applyAlignment="1" applyProtection="1">
      <alignment horizontal="center"/>
      <protection hidden="1"/>
    </xf>
    <xf numFmtId="0" fontId="0" fillId="3" borderId="0" xfId="0" applyFill="1" applyBorder="1" applyAlignment="1" applyProtection="1">
      <alignment vertical="center" wrapText="1"/>
      <protection hidden="1"/>
    </xf>
    <xf numFmtId="0" fontId="0" fillId="3" borderId="38" xfId="50" applyFont="1" applyFill="1" applyBorder="1" applyAlignment="1" applyProtection="1">
      <alignment horizontal="center" vertical="center" wrapText="1"/>
      <protection hidden="1"/>
    </xf>
    <xf numFmtId="2" fontId="56" fillId="3" borderId="36" xfId="0" applyNumberFormat="1" applyFont="1" applyFill="1" applyBorder="1" applyAlignment="1" applyProtection="1">
      <alignment horizontal="center" vertical="center" wrapText="1"/>
      <protection hidden="1"/>
    </xf>
    <xf numFmtId="0" fontId="10" fillId="3" borderId="35" xfId="50" applyFont="1" applyFill="1" applyBorder="1" applyAlignment="1" applyProtection="1">
      <alignment vertical="center" wrapText="1"/>
      <protection hidden="1"/>
    </xf>
    <xf numFmtId="0" fontId="10" fillId="3" borderId="36" xfId="50" applyFont="1" applyFill="1" applyBorder="1" applyAlignment="1" applyProtection="1">
      <alignment vertical="center"/>
      <protection hidden="1"/>
    </xf>
    <xf numFmtId="0" fontId="10" fillId="3" borderId="36" xfId="50" applyFont="1" applyFill="1" applyBorder="1" applyAlignment="1" applyProtection="1">
      <alignment vertical="center" wrapText="1"/>
      <protection hidden="1"/>
    </xf>
    <xf numFmtId="0" fontId="10" fillId="3" borderId="43" xfId="50" applyFont="1" applyFill="1" applyBorder="1" applyAlignment="1" applyProtection="1">
      <alignment vertical="center" wrapText="1"/>
      <protection hidden="1"/>
    </xf>
    <xf numFmtId="0" fontId="0" fillId="3" borderId="91" xfId="50" applyFont="1" applyFill="1" applyBorder="1" applyAlignment="1" applyProtection="1">
      <alignment horizontal="center" vertical="center" wrapText="1"/>
      <protection hidden="1"/>
    </xf>
    <xf numFmtId="0" fontId="0" fillId="3" borderId="53" xfId="50" applyFont="1" applyFill="1" applyBorder="1" applyAlignment="1" applyProtection="1">
      <alignment horizontal="center" vertical="center" wrapText="1"/>
      <protection hidden="1"/>
    </xf>
    <xf numFmtId="0" fontId="0" fillId="3" borderId="92" xfId="50" applyFont="1" applyFill="1" applyBorder="1" applyAlignment="1" applyProtection="1">
      <alignment horizontal="center" vertical="center" wrapText="1"/>
      <protection hidden="1"/>
    </xf>
    <xf numFmtId="0" fontId="3" fillId="15" borderId="60" xfId="50" applyFont="1" applyFill="1" applyBorder="1" applyAlignment="1" applyProtection="1">
      <alignment horizontal="center" vertical="center" wrapText="1"/>
      <protection hidden="1"/>
    </xf>
    <xf numFmtId="0" fontId="3" fillId="15" borderId="61" xfId="50" applyFont="1" applyFill="1" applyBorder="1" applyAlignment="1" applyProtection="1">
      <alignment horizontal="center" vertical="center" wrapText="1"/>
      <protection hidden="1"/>
    </xf>
    <xf numFmtId="0" fontId="3" fillId="15" borderId="93" xfId="50" applyFont="1" applyFill="1" applyBorder="1" applyAlignment="1" applyProtection="1">
      <alignment horizontal="center" vertical="center" wrapText="1"/>
      <protection hidden="1"/>
    </xf>
    <xf numFmtId="171" fontId="3" fillId="15" borderId="94" xfId="50" applyNumberFormat="1" applyFont="1" applyFill="1" applyBorder="1" applyAlignment="1" applyProtection="1">
      <alignment horizontal="center" vertical="center" wrapText="1"/>
      <protection hidden="1"/>
    </xf>
    <xf numFmtId="171" fontId="3" fillId="15" borderId="62" xfId="50" applyNumberFormat="1" applyFont="1" applyFill="1" applyBorder="1" applyAlignment="1" applyProtection="1">
      <alignment horizontal="center" vertical="center" wrapText="1"/>
      <protection hidden="1"/>
    </xf>
    <xf numFmtId="0" fontId="3" fillId="0" borderId="37" xfId="50" applyFont="1" applyFill="1" applyBorder="1" applyAlignment="1" applyProtection="1">
      <alignment horizontal="center" vertical="center" wrapText="1"/>
      <protection hidden="1"/>
    </xf>
    <xf numFmtId="171" fontId="3" fillId="0" borderId="37" xfId="50" applyNumberFormat="1" applyFont="1" applyFill="1" applyBorder="1" applyAlignment="1" applyProtection="1">
      <alignment horizontal="center" vertical="center" wrapText="1"/>
      <protection hidden="1"/>
    </xf>
    <xf numFmtId="0" fontId="16" fillId="14" borderId="49" xfId="0" applyFont="1" applyFill="1" applyBorder="1" applyAlignment="1" applyProtection="1">
      <alignment horizontal="center" vertical="center" wrapText="1"/>
      <protection hidden="1"/>
    </xf>
    <xf numFmtId="0" fontId="16" fillId="14" borderId="50" xfId="0" applyFont="1" applyFill="1" applyBorder="1" applyAlignment="1" applyProtection="1">
      <alignment horizontal="center" vertical="center" wrapText="1"/>
      <protection hidden="1"/>
    </xf>
    <xf numFmtId="0" fontId="16" fillId="14" borderId="51" xfId="0" applyFont="1" applyFill="1" applyBorder="1" applyAlignment="1" applyProtection="1">
      <alignment horizontal="center" vertical="center" wrapText="1"/>
      <protection hidden="1"/>
    </xf>
    <xf numFmtId="0" fontId="6" fillId="2" borderId="49" xfId="0" applyFont="1" applyFill="1" applyBorder="1" applyAlignment="1" applyProtection="1">
      <alignment horizontal="center" vertical="center" wrapText="1"/>
      <protection hidden="1"/>
    </xf>
    <xf numFmtId="0" fontId="6" fillId="2" borderId="50" xfId="0" applyFont="1" applyFill="1" applyBorder="1" applyAlignment="1" applyProtection="1">
      <alignment horizontal="center" vertical="center" wrapText="1"/>
      <protection hidden="1"/>
    </xf>
    <xf numFmtId="0" fontId="6" fillId="2" borderId="51" xfId="0" applyFont="1" applyFill="1" applyBorder="1" applyAlignment="1" applyProtection="1">
      <alignment horizontal="center" vertical="center" wrapText="1"/>
      <protection hidden="1"/>
    </xf>
    <xf numFmtId="0" fontId="5" fillId="14" borderId="35" xfId="0" applyFont="1" applyFill="1" applyBorder="1" applyAlignment="1" applyProtection="1">
      <alignment horizontal="center" vertical="center" wrapText="1"/>
      <protection hidden="1"/>
    </xf>
    <xf numFmtId="0" fontId="5" fillId="14" borderId="36" xfId="0" applyFont="1" applyFill="1" applyBorder="1" applyAlignment="1" applyProtection="1">
      <alignment horizontal="center" vertical="center"/>
      <protection hidden="1"/>
    </xf>
    <xf numFmtId="0" fontId="0" fillId="14" borderId="36" xfId="0" applyFont="1" applyFill="1" applyBorder="1" applyAlignment="1" applyProtection="1">
      <alignment horizontal="center" vertical="center" wrapText="1"/>
      <protection hidden="1"/>
    </xf>
    <xf numFmtId="0" fontId="5" fillId="14" borderId="36" xfId="0" applyFont="1" applyFill="1" applyBorder="1" applyAlignment="1" applyProtection="1">
      <alignment horizontal="center" vertical="center" wrapText="1"/>
      <protection hidden="1"/>
    </xf>
    <xf numFmtId="2" fontId="5" fillId="14" borderId="36" xfId="0" applyNumberFormat="1" applyFont="1" applyFill="1" applyBorder="1" applyAlignment="1" applyProtection="1">
      <alignment horizontal="center" vertical="center" wrapText="1"/>
      <protection hidden="1"/>
    </xf>
    <xf numFmtId="0" fontId="5" fillId="14" borderId="43" xfId="0" applyFont="1" applyFill="1" applyBorder="1" applyAlignment="1" applyProtection="1">
      <alignment horizontal="center" vertical="center" wrapText="1"/>
      <protection hidden="1"/>
    </xf>
    <xf numFmtId="0" fontId="5" fillId="8" borderId="35" xfId="0" applyFont="1" applyFill="1" applyBorder="1" applyAlignment="1" applyProtection="1">
      <alignment horizontal="center" vertical="center" wrapText="1"/>
      <protection hidden="1"/>
    </xf>
    <xf numFmtId="0" fontId="5" fillId="8" borderId="36" xfId="0" applyFont="1" applyFill="1" applyBorder="1" applyAlignment="1" applyProtection="1">
      <alignment horizontal="center" vertical="center"/>
      <protection hidden="1"/>
    </xf>
    <xf numFmtId="0" fontId="0" fillId="8" borderId="36" xfId="0" applyFont="1" applyFill="1" applyBorder="1" applyAlignment="1" applyProtection="1">
      <alignment horizontal="center" vertical="center" wrapText="1"/>
      <protection hidden="1"/>
    </xf>
    <xf numFmtId="0" fontId="5" fillId="8" borderId="36" xfId="0" applyFont="1" applyFill="1" applyBorder="1" applyAlignment="1" applyProtection="1">
      <alignment horizontal="center" vertical="center" wrapText="1"/>
      <protection hidden="1"/>
    </xf>
    <xf numFmtId="2" fontId="0" fillId="8" borderId="36" xfId="0" applyNumberFormat="1" applyFont="1" applyFill="1" applyBorder="1" applyAlignment="1" applyProtection="1">
      <alignment horizontal="center" vertical="center" wrapText="1"/>
      <protection hidden="1"/>
    </xf>
    <xf numFmtId="171" fontId="5" fillId="8" borderId="36" xfId="0" applyNumberFormat="1" applyFont="1" applyFill="1" applyBorder="1" applyAlignment="1" applyProtection="1">
      <alignment horizontal="center" vertical="center" wrapText="1"/>
      <protection hidden="1"/>
    </xf>
    <xf numFmtId="0" fontId="5" fillId="8" borderId="43" xfId="0" applyFont="1" applyFill="1" applyBorder="1" applyAlignment="1" applyProtection="1">
      <alignment horizontal="center" vertical="center" wrapText="1"/>
      <protection hidden="1"/>
    </xf>
    <xf numFmtId="1" fontId="5" fillId="8" borderId="35" xfId="0" applyNumberFormat="1" applyFont="1" applyFill="1" applyBorder="1" applyAlignment="1" applyProtection="1">
      <alignment horizontal="center" vertical="center" wrapText="1"/>
      <protection hidden="1"/>
    </xf>
    <xf numFmtId="1" fontId="5" fillId="8" borderId="36" xfId="0" applyNumberFormat="1" applyFont="1" applyFill="1" applyBorder="1" applyAlignment="1" applyProtection="1">
      <alignment horizontal="center" vertical="center"/>
      <protection hidden="1"/>
    </xf>
    <xf numFmtId="1" fontId="0" fillId="8" borderId="36" xfId="0" applyNumberFormat="1" applyFont="1" applyFill="1" applyBorder="1" applyAlignment="1" applyProtection="1">
      <alignment horizontal="center" vertical="center" wrapText="1"/>
      <protection hidden="1"/>
    </xf>
    <xf numFmtId="1" fontId="5" fillId="8" borderId="36" xfId="0" applyNumberFormat="1" applyFont="1" applyFill="1" applyBorder="1" applyAlignment="1" applyProtection="1">
      <alignment horizontal="center" vertical="center" wrapText="1"/>
      <protection hidden="1"/>
    </xf>
    <xf numFmtId="171" fontId="0" fillId="8" borderId="36" xfId="0" applyNumberFormat="1" applyFont="1" applyFill="1" applyBorder="1" applyAlignment="1" applyProtection="1">
      <alignment horizontal="right" vertical="center" wrapText="1"/>
      <protection hidden="1"/>
    </xf>
    <xf numFmtId="1" fontId="5" fillId="8" borderId="43" xfId="0" applyNumberFormat="1" applyFont="1" applyFill="1" applyBorder="1" applyAlignment="1" applyProtection="1">
      <alignment horizontal="center" vertical="center" wrapText="1"/>
      <protection hidden="1"/>
    </xf>
    <xf numFmtId="1" fontId="0" fillId="2" borderId="35" xfId="0" applyNumberFormat="1" applyFont="1" applyFill="1" applyBorder="1" applyAlignment="1" applyProtection="1">
      <alignment horizontal="center" vertical="center" wrapText="1"/>
      <protection hidden="1"/>
    </xf>
    <xf numFmtId="1" fontId="0" fillId="2" borderId="36" xfId="0" applyNumberFormat="1" applyFont="1" applyFill="1" applyBorder="1" applyAlignment="1" applyProtection="1">
      <alignment horizontal="center" vertical="center"/>
      <protection hidden="1"/>
    </xf>
    <xf numFmtId="1" fontId="0" fillId="2" borderId="36" xfId="0" applyNumberFormat="1" applyFont="1" applyFill="1" applyBorder="1" applyAlignment="1" applyProtection="1">
      <alignment horizontal="center" vertical="center" wrapText="1"/>
      <protection hidden="1"/>
    </xf>
    <xf numFmtId="0" fontId="0" fillId="2" borderId="36" xfId="0" applyFont="1" applyFill="1" applyBorder="1" applyAlignment="1" applyProtection="1">
      <alignment wrapText="1"/>
      <protection hidden="1"/>
    </xf>
    <xf numFmtId="2" fontId="0" fillId="2" borderId="36" xfId="0" applyNumberFormat="1" applyFont="1" applyFill="1" applyBorder="1" applyAlignment="1" applyProtection="1">
      <alignment horizontal="center" vertical="center" wrapText="1"/>
      <protection hidden="1"/>
    </xf>
    <xf numFmtId="171" fontId="0" fillId="2" borderId="36" xfId="0" applyNumberFormat="1" applyFont="1" applyFill="1" applyBorder="1" applyAlignment="1" applyProtection="1">
      <alignment horizontal="right" vertical="center" wrapText="1"/>
      <protection hidden="1"/>
    </xf>
    <xf numFmtId="1" fontId="0" fillId="2" borderId="43" xfId="0" applyNumberFormat="1" applyFont="1" applyFill="1" applyBorder="1" applyAlignment="1" applyProtection="1">
      <alignment horizontal="center" vertical="center" wrapText="1"/>
      <protection hidden="1"/>
    </xf>
    <xf numFmtId="1" fontId="0" fillId="2" borderId="36" xfId="0" applyNumberFormat="1" applyFont="1" applyFill="1" applyBorder="1" applyAlignment="1" applyProtection="1">
      <alignment horizontal="left" vertical="center" wrapText="1"/>
      <protection hidden="1"/>
    </xf>
    <xf numFmtId="0" fontId="0" fillId="2" borderId="36" xfId="0" applyFont="1" applyFill="1" applyBorder="1" applyAlignment="1" applyProtection="1">
      <alignment horizontal="center" vertical="center"/>
      <protection hidden="1"/>
    </xf>
    <xf numFmtId="0" fontId="0" fillId="2" borderId="36" xfId="0" applyFont="1" applyFill="1" applyBorder="1" applyAlignment="1" applyProtection="1">
      <alignment horizontal="center" vertical="center" wrapText="1"/>
      <protection hidden="1"/>
    </xf>
    <xf numFmtId="0" fontId="0" fillId="2" borderId="36" xfId="0" applyFont="1" applyFill="1" applyBorder="1" applyAlignment="1" applyProtection="1">
      <alignment wrapText="1"/>
      <protection hidden="1"/>
    </xf>
    <xf numFmtId="1" fontId="0" fillId="2" borderId="43" xfId="0" applyNumberFormat="1" applyFont="1" applyFill="1" applyBorder="1" applyAlignment="1" applyProtection="1">
      <alignment vertical="center" wrapText="1"/>
      <protection hidden="1"/>
    </xf>
    <xf numFmtId="0" fontId="0" fillId="2" borderId="36" xfId="0" applyFont="1" applyFill="1" applyBorder="1" applyAlignment="1" applyProtection="1">
      <alignment horizontal="center" vertical="center" wrapText="1"/>
      <protection hidden="1"/>
    </xf>
    <xf numFmtId="0" fontId="0" fillId="8" borderId="36" xfId="0" applyFont="1" applyFill="1" applyBorder="1" applyAlignment="1" applyProtection="1">
      <alignment horizontal="center" vertical="center"/>
      <protection hidden="1"/>
    </xf>
    <xf numFmtId="1" fontId="0" fillId="8" borderId="43" xfId="0" applyNumberFormat="1" applyFont="1" applyFill="1" applyBorder="1" applyAlignment="1" applyProtection="1">
      <alignment vertical="center" wrapText="1"/>
      <protection hidden="1"/>
    </xf>
    <xf numFmtId="0" fontId="0" fillId="38" borderId="36" xfId="0" applyFont="1" applyFill="1" applyBorder="1" applyAlignment="1" applyProtection="1">
      <alignment horizontal="left" vertical="center" wrapText="1"/>
      <protection hidden="1"/>
    </xf>
    <xf numFmtId="1" fontId="0" fillId="8" borderId="35" xfId="0" applyNumberFormat="1" applyFont="1" applyFill="1" applyBorder="1" applyAlignment="1" applyProtection="1">
      <alignment horizontal="center" vertical="center" wrapText="1"/>
      <protection hidden="1"/>
    </xf>
    <xf numFmtId="171" fontId="5" fillId="8" borderId="36" xfId="0" applyNumberFormat="1" applyFont="1" applyFill="1" applyBorder="1" applyAlignment="1" applyProtection="1">
      <alignment horizontal="right" vertical="center" wrapText="1"/>
      <protection hidden="1"/>
    </xf>
    <xf numFmtId="171" fontId="5" fillId="8" borderId="43" xfId="48" applyNumberFormat="1" applyFont="1" applyFill="1" applyBorder="1" applyAlignment="1" applyProtection="1">
      <alignment horizontal="right" vertical="center" wrapText="1"/>
      <protection hidden="1"/>
    </xf>
    <xf numFmtId="0" fontId="0" fillId="2" borderId="41" xfId="0" applyFont="1" applyFill="1" applyBorder="1" applyAlignment="1" applyProtection="1">
      <alignment horizontal="center" vertical="center" wrapText="1"/>
      <protection hidden="1"/>
    </xf>
    <xf numFmtId="0" fontId="0" fillId="2" borderId="47" xfId="0" applyFont="1" applyFill="1" applyBorder="1" applyAlignment="1" applyProtection="1">
      <alignment horizontal="center" vertical="center" wrapText="1"/>
      <protection hidden="1"/>
    </xf>
    <xf numFmtId="0" fontId="0" fillId="2" borderId="48" xfId="0" applyFont="1" applyFill="1" applyBorder="1" applyAlignment="1" applyProtection="1">
      <alignment horizontal="center" vertical="center" wrapText="1"/>
      <protection hidden="1"/>
    </xf>
    <xf numFmtId="0" fontId="0" fillId="38" borderId="35" xfId="0" applyFont="1" applyFill="1" applyBorder="1" applyAlignment="1" applyProtection="1">
      <alignment horizontal="center" vertical="center" wrapText="1"/>
      <protection hidden="1"/>
    </xf>
    <xf numFmtId="0" fontId="0" fillId="38" borderId="36" xfId="50" applyFont="1" applyFill="1" applyBorder="1" applyAlignment="1" applyProtection="1">
      <alignment horizontal="center" vertical="center"/>
      <protection hidden="1"/>
    </xf>
    <xf numFmtId="0" fontId="0" fillId="38" borderId="36" xfId="50" applyFont="1" applyFill="1" applyBorder="1" applyAlignment="1" applyProtection="1">
      <alignment horizontal="center" vertical="center" wrapText="1"/>
      <protection hidden="1"/>
    </xf>
    <xf numFmtId="0" fontId="0" fillId="38" borderId="36" xfId="0" applyFill="1" applyBorder="1" applyAlignment="1" applyProtection="1">
      <alignment horizontal="center" vertical="center"/>
      <protection hidden="1"/>
    </xf>
    <xf numFmtId="0" fontId="0" fillId="38" borderId="36" xfId="0" applyFill="1" applyBorder="1" applyAlignment="1" applyProtection="1">
      <alignment vertical="center" wrapText="1"/>
      <protection hidden="1"/>
    </xf>
    <xf numFmtId="2" fontId="0" fillId="38" borderId="36" xfId="0" applyNumberFormat="1" applyFont="1" applyFill="1" applyBorder="1" applyAlignment="1" applyProtection="1">
      <alignment horizontal="center" vertical="center" wrapText="1"/>
      <protection hidden="1"/>
    </xf>
    <xf numFmtId="171" fontId="0" fillId="38" borderId="36" xfId="0" applyNumberFormat="1" applyFont="1" applyFill="1" applyBorder="1" applyAlignment="1" applyProtection="1">
      <alignment horizontal="right" vertical="center" wrapText="1"/>
      <protection hidden="1"/>
    </xf>
    <xf numFmtId="171" fontId="5" fillId="38" borderId="43" xfId="48" applyNumberFormat="1" applyFont="1" applyFill="1" applyBorder="1" applyAlignment="1" applyProtection="1">
      <alignment horizontal="right" vertical="center" wrapText="1"/>
      <protection hidden="1"/>
    </xf>
    <xf numFmtId="0" fontId="0" fillId="8" borderId="36" xfId="0" applyFont="1" applyFill="1" applyBorder="1" applyAlignment="1" applyProtection="1">
      <alignment horizontal="center" vertical="center" wrapText="1"/>
      <protection hidden="1"/>
    </xf>
    <xf numFmtId="0" fontId="0" fillId="2" borderId="35" xfId="0" applyFont="1" applyFill="1" applyBorder="1" applyAlignment="1" applyProtection="1">
      <alignment horizontal="center" vertical="center" wrapText="1"/>
      <protection hidden="1"/>
    </xf>
    <xf numFmtId="0" fontId="0" fillId="2" borderId="36"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wrapText="1"/>
      <protection hidden="1"/>
    </xf>
    <xf numFmtId="171" fontId="5" fillId="2" borderId="36" xfId="0" applyNumberFormat="1" applyFont="1" applyFill="1" applyBorder="1" applyAlignment="1" applyProtection="1">
      <alignment horizontal="right" vertical="center" wrapText="1"/>
      <protection hidden="1"/>
    </xf>
    <xf numFmtId="171" fontId="5" fillId="2" borderId="43" xfId="0" applyNumberFormat="1" applyFont="1" applyFill="1" applyBorder="1" applyAlignment="1" applyProtection="1">
      <alignment horizontal="right" vertical="center" wrapText="1"/>
      <protection hidden="1"/>
    </xf>
    <xf numFmtId="171" fontId="0" fillId="8" borderId="36" xfId="0" applyNumberFormat="1" applyFont="1" applyFill="1" applyBorder="1" applyAlignment="1" applyProtection="1">
      <alignment horizontal="center" vertical="center" wrapText="1"/>
      <protection hidden="1"/>
    </xf>
    <xf numFmtId="171" fontId="0" fillId="8" borderId="43" xfId="0" applyNumberFormat="1" applyFont="1" applyFill="1" applyBorder="1" applyAlignment="1" applyProtection="1">
      <alignment horizontal="center" vertical="center" wrapText="1"/>
      <protection hidden="1"/>
    </xf>
    <xf numFmtId="171" fontId="0" fillId="2" borderId="36" xfId="0" applyNumberFormat="1" applyFont="1" applyFill="1" applyBorder="1" applyAlignment="1" applyProtection="1">
      <alignment horizontal="center" vertical="center" wrapText="1"/>
      <protection hidden="1"/>
    </xf>
    <xf numFmtId="0" fontId="0" fillId="8" borderId="35" xfId="0" applyFont="1" applyFill="1" applyBorder="1" applyAlignment="1" applyProtection="1">
      <alignment horizontal="center" vertical="center" wrapText="1"/>
      <protection hidden="1"/>
    </xf>
    <xf numFmtId="0" fontId="0" fillId="8" borderId="36" xfId="0" applyFont="1" applyFill="1" applyBorder="1" applyAlignment="1" applyProtection="1">
      <alignment horizontal="center" vertical="center"/>
      <protection hidden="1"/>
    </xf>
    <xf numFmtId="171" fontId="5" fillId="2" borderId="43" xfId="48" applyNumberFormat="1" applyFont="1" applyFill="1" applyBorder="1" applyAlignment="1" applyProtection="1">
      <alignment horizontal="right" vertical="center" wrapText="1"/>
      <protection hidden="1"/>
    </xf>
    <xf numFmtId="0" fontId="0" fillId="2" borderId="36" xfId="0" applyFill="1" applyBorder="1" applyAlignment="1" applyProtection="1">
      <alignment horizontal="center" vertical="center"/>
      <protection hidden="1"/>
    </xf>
    <xf numFmtId="2" fontId="0" fillId="2" borderId="40" xfId="0" applyNumberFormat="1" applyFont="1" applyFill="1" applyBorder="1" applyAlignment="1" applyProtection="1">
      <alignment horizontal="center" vertical="center" wrapText="1"/>
      <protection hidden="1"/>
    </xf>
    <xf numFmtId="171" fontId="0" fillId="2" borderId="43" xfId="0" applyNumberFormat="1" applyFont="1" applyFill="1" applyBorder="1" applyAlignment="1" applyProtection="1">
      <alignment horizontal="right" vertical="center" wrapText="1"/>
      <protection hidden="1"/>
    </xf>
    <xf numFmtId="0" fontId="0" fillId="2" borderId="38" xfId="0" applyFont="1" applyFill="1" applyBorder="1" applyAlignment="1" applyProtection="1">
      <alignment horizontal="center" vertical="center"/>
      <protection hidden="1"/>
    </xf>
    <xf numFmtId="0" fontId="0" fillId="2" borderId="38" xfId="0" applyFont="1" applyFill="1" applyBorder="1" applyAlignment="1" applyProtection="1">
      <alignment horizontal="center" vertical="center" wrapText="1"/>
      <protection hidden="1"/>
    </xf>
    <xf numFmtId="0" fontId="0" fillId="2" borderId="38" xfId="0" applyFont="1" applyFill="1" applyBorder="1" applyAlignment="1" applyProtection="1">
      <alignment horizontal="left" vertical="center" wrapText="1"/>
      <protection hidden="1"/>
    </xf>
    <xf numFmtId="0" fontId="0" fillId="2" borderId="38" xfId="0" applyFill="1" applyBorder="1" applyAlignment="1" applyProtection="1">
      <alignment horizontal="center" vertical="center"/>
      <protection hidden="1"/>
    </xf>
    <xf numFmtId="2" fontId="0" fillId="2" borderId="38" xfId="0" applyNumberFormat="1" applyFont="1" applyFill="1" applyBorder="1" applyAlignment="1" applyProtection="1">
      <alignment horizontal="center" vertical="center" wrapText="1"/>
      <protection hidden="1"/>
    </xf>
    <xf numFmtId="171" fontId="0" fillId="2" borderId="38" xfId="0" applyNumberFormat="1" applyFont="1" applyFill="1" applyBorder="1" applyAlignment="1" applyProtection="1">
      <alignment horizontal="right" vertical="center" wrapText="1"/>
      <protection hidden="1"/>
    </xf>
    <xf numFmtId="171" fontId="0" fillId="2" borderId="90" xfId="0" applyNumberFormat="1" applyFont="1" applyFill="1" applyBorder="1" applyAlignment="1" applyProtection="1">
      <alignment horizontal="right" vertical="center" wrapText="1"/>
      <protection hidden="1"/>
    </xf>
    <xf numFmtId="0" fontId="0" fillId="0" borderId="0" xfId="0" applyFill="1" applyBorder="1" applyAlignment="1" applyProtection="1">
      <alignment horizontal="center" vertical="center"/>
      <protection hidden="1"/>
    </xf>
    <xf numFmtId="0" fontId="0" fillId="2" borderId="39" xfId="0" applyFont="1" applyFill="1" applyBorder="1" applyAlignment="1" applyProtection="1">
      <alignment horizontal="center" vertical="center"/>
      <protection hidden="1"/>
    </xf>
    <xf numFmtId="0" fontId="0" fillId="2" borderId="39" xfId="0" applyFont="1" applyFill="1" applyBorder="1" applyAlignment="1" applyProtection="1">
      <alignment horizontal="center" vertical="center" wrapText="1"/>
      <protection hidden="1"/>
    </xf>
    <xf numFmtId="0" fontId="0" fillId="2" borderId="39" xfId="0" applyFill="1" applyBorder="1" applyAlignment="1" applyProtection="1">
      <alignment horizontal="center" vertical="center"/>
      <protection hidden="1"/>
    </xf>
    <xf numFmtId="0" fontId="0" fillId="2" borderId="0" xfId="0" applyFill="1" applyAlignment="1" applyProtection="1">
      <alignment horizontal="left" vertical="center" wrapText="1"/>
      <protection hidden="1"/>
    </xf>
    <xf numFmtId="2" fontId="0" fillId="2" borderId="39" xfId="0" applyNumberFormat="1" applyFont="1" applyFill="1" applyBorder="1" applyAlignment="1" applyProtection="1">
      <alignment horizontal="center" vertical="center" wrapText="1"/>
      <protection hidden="1"/>
    </xf>
    <xf numFmtId="171" fontId="0" fillId="2" borderId="39" xfId="0" applyNumberFormat="1" applyFont="1" applyFill="1" applyBorder="1" applyAlignment="1" applyProtection="1">
      <alignment horizontal="right" vertical="center" wrapText="1"/>
      <protection hidden="1"/>
    </xf>
    <xf numFmtId="171" fontId="0" fillId="2" borderId="95" xfId="0" applyNumberFormat="1" applyFont="1" applyFill="1" applyBorder="1" applyAlignment="1" applyProtection="1">
      <alignment horizontal="right" vertical="center" wrapText="1"/>
      <protection hidden="1"/>
    </xf>
    <xf numFmtId="0" fontId="0" fillId="2" borderId="0" xfId="0" applyFill="1" applyAlignment="1" applyProtection="1">
      <alignment horizontal="center" vertical="center"/>
      <protection hidden="1"/>
    </xf>
    <xf numFmtId="0" fontId="0" fillId="2" borderId="36" xfId="0" applyFill="1" applyBorder="1" applyAlignment="1" applyProtection="1">
      <alignment horizontal="left" vertical="center" wrapText="1"/>
      <protection hidden="1"/>
    </xf>
    <xf numFmtId="0" fontId="0" fillId="2" borderId="36" xfId="0" applyFont="1" applyFill="1" applyBorder="1" applyAlignment="1" applyProtection="1">
      <alignment horizontal="left" wrapText="1"/>
      <protection hidden="1"/>
    </xf>
    <xf numFmtId="0" fontId="5" fillId="2" borderId="35" xfId="0" applyFont="1" applyFill="1" applyBorder="1" applyAlignment="1" applyProtection="1">
      <alignment horizontal="center" vertical="center" wrapText="1"/>
      <protection hidden="1"/>
    </xf>
    <xf numFmtId="0" fontId="5" fillId="2" borderId="36" xfId="0" applyFont="1" applyFill="1" applyBorder="1" applyAlignment="1" applyProtection="1">
      <alignment horizontal="center" vertical="center"/>
      <protection hidden="1"/>
    </xf>
    <xf numFmtId="0" fontId="0" fillId="2" borderId="40" xfId="0" applyFont="1" applyFill="1" applyBorder="1" applyAlignment="1" applyProtection="1">
      <alignment horizontal="center" vertical="center" wrapText="1"/>
      <protection hidden="1"/>
    </xf>
    <xf numFmtId="0" fontId="0" fillId="8" borderId="40" xfId="0" applyFont="1" applyFill="1" applyBorder="1" applyAlignment="1" applyProtection="1">
      <alignment horizontal="center" vertical="center" wrapText="1"/>
      <protection hidden="1"/>
    </xf>
    <xf numFmtId="171" fontId="0" fillId="8" borderId="43" xfId="0" applyNumberFormat="1" applyFont="1" applyFill="1" applyBorder="1" applyAlignment="1" applyProtection="1">
      <alignment horizontal="right" vertical="center" wrapText="1"/>
      <protection hidden="1"/>
    </xf>
    <xf numFmtId="2" fontId="5" fillId="8" borderId="36" xfId="0" applyNumberFormat="1" applyFont="1" applyFill="1" applyBorder="1" applyAlignment="1" applyProtection="1">
      <alignment horizontal="center" vertical="center" wrapText="1"/>
      <protection hidden="1"/>
    </xf>
    <xf numFmtId="171" fontId="5" fillId="8" borderId="43" xfId="0" applyNumberFormat="1" applyFont="1" applyFill="1" applyBorder="1" applyAlignment="1" applyProtection="1">
      <alignment horizontal="right" vertical="center" wrapText="1"/>
      <protection hidden="1"/>
    </xf>
    <xf numFmtId="0" fontId="0" fillId="38" borderId="36" xfId="0" applyFont="1" applyFill="1" applyBorder="1" applyAlignment="1" applyProtection="1">
      <alignment horizontal="center" vertical="center" wrapText="1"/>
      <protection hidden="1"/>
    </xf>
    <xf numFmtId="1" fontId="0" fillId="38" borderId="36" xfId="0" applyNumberFormat="1" applyFont="1" applyFill="1" applyBorder="1" applyAlignment="1" applyProtection="1">
      <alignment horizontal="center" vertical="center" wrapText="1"/>
      <protection hidden="1"/>
    </xf>
    <xf numFmtId="1" fontId="0" fillId="38" borderId="36" xfId="0" applyNumberFormat="1" applyFont="1" applyFill="1" applyBorder="1" applyAlignment="1" applyProtection="1">
      <alignment horizontal="left" vertical="center" wrapText="1"/>
      <protection hidden="1"/>
    </xf>
    <xf numFmtId="0" fontId="0" fillId="38" borderId="36" xfId="0" applyFont="1" applyFill="1" applyBorder="1" applyAlignment="1" applyProtection="1">
      <alignment horizontal="center" vertical="center" wrapText="1"/>
      <protection hidden="1"/>
    </xf>
    <xf numFmtId="0" fontId="0" fillId="38" borderId="36" xfId="0" applyFont="1" applyFill="1" applyBorder="1" applyAlignment="1" applyProtection="1">
      <alignment wrapText="1"/>
      <protection hidden="1"/>
    </xf>
    <xf numFmtId="2" fontId="5" fillId="2" borderId="36" xfId="0" applyNumberFormat="1" applyFont="1" applyFill="1" applyBorder="1" applyAlignment="1" applyProtection="1">
      <alignment horizontal="center" vertical="center" wrapText="1"/>
      <protection hidden="1"/>
    </xf>
    <xf numFmtId="171" fontId="10" fillId="2" borderId="43" xfId="0" applyNumberFormat="1" applyFont="1" applyFill="1" applyBorder="1" applyAlignment="1" applyProtection="1">
      <alignment horizontal="right" vertical="center" wrapText="1"/>
      <protection hidden="1"/>
    </xf>
    <xf numFmtId="0" fontId="0" fillId="38" borderId="36" xfId="0" applyFont="1" applyFill="1" applyBorder="1" applyAlignment="1" applyProtection="1">
      <alignment horizontal="center" vertical="center"/>
      <protection hidden="1"/>
    </xf>
    <xf numFmtId="171" fontId="10" fillId="38" borderId="43" xfId="0" applyNumberFormat="1" applyFont="1" applyFill="1" applyBorder="1" applyAlignment="1" applyProtection="1">
      <alignment horizontal="right" vertical="center" wrapText="1"/>
      <protection hidden="1"/>
    </xf>
    <xf numFmtId="2" fontId="0" fillId="2" borderId="36" xfId="0" applyNumberFormat="1" applyFont="1" applyFill="1" applyBorder="1" applyAlignment="1" applyProtection="1">
      <alignment horizontal="right" vertical="center" wrapText="1"/>
      <protection hidden="1"/>
    </xf>
    <xf numFmtId="171" fontId="57" fillId="8" borderId="43" xfId="0" applyNumberFormat="1" applyFont="1" applyFill="1" applyBorder="1" applyAlignment="1" applyProtection="1">
      <alignment horizontal="right" vertical="center" wrapText="1"/>
      <protection hidden="1"/>
    </xf>
    <xf numFmtId="0" fontId="10" fillId="2" borderId="35" xfId="0" applyFont="1" applyFill="1" applyBorder="1" applyAlignment="1" applyProtection="1">
      <alignment vertical="center" wrapText="1"/>
      <protection hidden="1"/>
    </xf>
    <xf numFmtId="0" fontId="10" fillId="2" borderId="36" xfId="0" applyFont="1" applyFill="1" applyBorder="1" applyAlignment="1" applyProtection="1">
      <alignment vertical="center"/>
      <protection hidden="1"/>
    </xf>
    <xf numFmtId="0" fontId="10" fillId="2" borderId="36" xfId="0" applyFont="1" applyFill="1" applyBorder="1" applyAlignment="1" applyProtection="1">
      <alignment vertical="center" wrapText="1"/>
      <protection hidden="1"/>
    </xf>
    <xf numFmtId="0" fontId="10" fillId="2" borderId="36" xfId="0" applyFont="1" applyFill="1" applyBorder="1" applyAlignment="1" applyProtection="1">
      <alignment horizontal="center" vertical="center" wrapText="1"/>
      <protection hidden="1"/>
    </xf>
    <xf numFmtId="171" fontId="10" fillId="8" borderId="43" xfId="0" applyNumberFormat="1" applyFont="1" applyFill="1" applyBorder="1" applyAlignment="1" applyProtection="1">
      <alignment horizontal="right" vertical="center" wrapText="1"/>
      <protection hidden="1"/>
    </xf>
    <xf numFmtId="0" fontId="0" fillId="2" borderId="83" xfId="0" applyFont="1" applyFill="1" applyBorder="1" applyAlignment="1" applyProtection="1">
      <alignment horizontal="center" vertical="center" wrapText="1"/>
      <protection hidden="1"/>
    </xf>
    <xf numFmtId="0" fontId="0" fillId="2" borderId="10" xfId="0" applyNumberFormat="1" applyFont="1" applyFill="1" applyBorder="1" applyAlignment="1" applyProtection="1">
      <alignment horizontal="center" vertical="center" wrapText="1"/>
      <protection hidden="1"/>
    </xf>
    <xf numFmtId="0" fontId="0" fillId="2" borderId="0" xfId="0" applyFont="1" applyFill="1" applyAlignment="1" applyProtection="1">
      <alignment horizontal="center" vertical="center" wrapText="1"/>
      <protection hidden="1"/>
    </xf>
    <xf numFmtId="0" fontId="0" fillId="2" borderId="36" xfId="0" applyFont="1" applyFill="1" applyBorder="1" applyAlignment="1" applyProtection="1">
      <alignment horizontal="left" wrapText="1"/>
      <protection hidden="1"/>
    </xf>
    <xf numFmtId="0" fontId="57" fillId="8" borderId="35" xfId="0" applyFont="1" applyFill="1" applyBorder="1" applyAlignment="1" applyProtection="1">
      <alignment horizontal="center" vertical="center" wrapText="1"/>
      <protection hidden="1"/>
    </xf>
    <xf numFmtId="0" fontId="10" fillId="8" borderId="36" xfId="0" applyFont="1" applyFill="1" applyBorder="1" applyAlignment="1" applyProtection="1">
      <alignment vertical="center"/>
      <protection hidden="1"/>
    </xf>
    <xf numFmtId="0" fontId="10" fillId="8" borderId="36" xfId="0" applyFont="1" applyFill="1" applyBorder="1" applyAlignment="1" applyProtection="1">
      <alignment vertical="center" wrapText="1"/>
      <protection hidden="1"/>
    </xf>
    <xf numFmtId="0" fontId="10" fillId="8" borderId="36" xfId="0" applyFont="1" applyFill="1" applyBorder="1" applyAlignment="1" applyProtection="1">
      <alignment horizontal="center" vertical="center" wrapText="1"/>
      <protection hidden="1"/>
    </xf>
    <xf numFmtId="0" fontId="10" fillId="8" borderId="43" xfId="0" applyFont="1" applyFill="1" applyBorder="1" applyAlignment="1" applyProtection="1">
      <alignment vertical="center" wrapText="1"/>
      <protection hidden="1"/>
    </xf>
    <xf numFmtId="0" fontId="56" fillId="2" borderId="35" xfId="0" applyFont="1" applyFill="1" applyBorder="1" applyAlignment="1" applyProtection="1">
      <alignment horizontal="center" vertical="center" wrapText="1"/>
      <protection hidden="1"/>
    </xf>
    <xf numFmtId="0" fontId="0" fillId="38" borderId="36" xfId="0" applyFill="1" applyBorder="1" applyAlignment="1" applyProtection="1">
      <alignment wrapText="1"/>
      <protection hidden="1"/>
    </xf>
    <xf numFmtId="0" fontId="10" fillId="38" borderId="36" xfId="0" applyFont="1" applyFill="1" applyBorder="1" applyAlignment="1" applyProtection="1">
      <alignment vertical="center"/>
      <protection hidden="1"/>
    </xf>
    <xf numFmtId="0" fontId="0" fillId="2" borderId="36" xfId="0" applyFont="1" applyFill="1" applyBorder="1" applyAlignment="1" applyProtection="1">
      <alignment vertical="center"/>
      <protection hidden="1"/>
    </xf>
    <xf numFmtId="171" fontId="57" fillId="8" borderId="43" xfId="0" applyNumberFormat="1" applyFont="1" applyFill="1" applyBorder="1" applyAlignment="1" applyProtection="1">
      <alignment horizontal="center" vertical="center" wrapText="1"/>
      <protection hidden="1"/>
    </xf>
    <xf numFmtId="0" fontId="0" fillId="2" borderId="35" xfId="0" applyFont="1" applyFill="1" applyBorder="1" applyAlignment="1" applyProtection="1">
      <alignment vertical="center" wrapText="1"/>
      <protection hidden="1"/>
    </xf>
    <xf numFmtId="0" fontId="0" fillId="2" borderId="36" xfId="0" applyFont="1" applyFill="1" applyBorder="1" applyAlignment="1" applyProtection="1">
      <alignment vertical="center" wrapText="1"/>
      <protection hidden="1"/>
    </xf>
    <xf numFmtId="171" fontId="56" fillId="2" borderId="43" xfId="0" applyNumberFormat="1" applyFont="1" applyFill="1" applyBorder="1" applyAlignment="1" applyProtection="1">
      <alignment horizontal="right" vertical="center" wrapText="1"/>
      <protection hidden="1"/>
    </xf>
    <xf numFmtId="0" fontId="0" fillId="2" borderId="91" xfId="0" applyFont="1" applyFill="1" applyBorder="1" applyAlignment="1" applyProtection="1">
      <alignment horizontal="center" vertical="center" wrapText="1"/>
      <protection hidden="1"/>
    </xf>
    <xf numFmtId="0" fontId="0" fillId="2" borderId="53" xfId="0" applyFont="1" applyFill="1" applyBorder="1" applyAlignment="1" applyProtection="1">
      <alignment horizontal="center" vertical="center" wrapText="1"/>
      <protection hidden="1"/>
    </xf>
    <xf numFmtId="0" fontId="0" fillId="2" borderId="92" xfId="0" applyFont="1" applyFill="1" applyBorder="1" applyAlignment="1" applyProtection="1">
      <alignment horizontal="center" vertical="center" wrapText="1"/>
      <protection hidden="1"/>
    </xf>
    <xf numFmtId="0" fontId="3" fillId="14" borderId="58" xfId="0" applyFont="1" applyFill="1" applyBorder="1" applyAlignment="1" applyProtection="1">
      <alignment horizontal="center" vertical="center" wrapText="1"/>
      <protection hidden="1"/>
    </xf>
    <xf numFmtId="0" fontId="3" fillId="14" borderId="59" xfId="0" applyFont="1" applyFill="1" applyBorder="1" applyAlignment="1" applyProtection="1">
      <alignment horizontal="center" vertical="center" wrapText="1"/>
      <protection hidden="1"/>
    </xf>
    <xf numFmtId="0" fontId="3" fillId="14" borderId="96" xfId="0" applyFont="1" applyFill="1" applyBorder="1" applyAlignment="1" applyProtection="1">
      <alignment horizontal="center" vertical="center" wrapText="1"/>
      <protection hidden="1"/>
    </xf>
    <xf numFmtId="171" fontId="3" fillId="14" borderId="97" xfId="0" applyNumberFormat="1" applyFont="1" applyFill="1" applyBorder="1" applyAlignment="1" applyProtection="1">
      <alignment horizontal="center" vertical="center" wrapText="1"/>
      <protection hidden="1"/>
    </xf>
    <xf numFmtId="171" fontId="3" fillId="14" borderId="63" xfId="0" applyNumberFormat="1" applyFont="1" applyFill="1" applyBorder="1" applyAlignment="1" applyProtection="1">
      <alignment horizontal="center" vertical="center" wrapText="1"/>
      <protection hidden="1"/>
    </xf>
    <xf numFmtId="0" fontId="3" fillId="14" borderId="32" xfId="0" applyFont="1" applyFill="1" applyBorder="1" applyAlignment="1" applyProtection="1">
      <alignment horizontal="center" vertical="center" wrapText="1"/>
      <protection hidden="1"/>
    </xf>
    <xf numFmtId="0" fontId="3" fillId="14" borderId="33" xfId="0" applyFont="1" applyFill="1" applyBorder="1" applyAlignment="1" applyProtection="1">
      <alignment horizontal="center" vertical="center" wrapText="1"/>
      <protection hidden="1"/>
    </xf>
    <xf numFmtId="0" fontId="3" fillId="14" borderId="98" xfId="0" applyFont="1" applyFill="1" applyBorder="1" applyAlignment="1" applyProtection="1">
      <alignment horizontal="center" vertical="center" wrapText="1"/>
      <protection hidden="1"/>
    </xf>
    <xf numFmtId="171" fontId="3" fillId="14" borderId="99" xfId="0" applyNumberFormat="1" applyFont="1" applyFill="1" applyBorder="1" applyAlignment="1" applyProtection="1">
      <alignment horizontal="center" vertical="center" wrapText="1"/>
      <protection hidden="1"/>
    </xf>
    <xf numFmtId="171" fontId="3" fillId="14" borderId="34" xfId="0" applyNumberFormat="1" applyFont="1" applyFill="1" applyBorder="1" applyAlignment="1" applyProtection="1">
      <alignment horizontal="center" vertical="center" wrapText="1"/>
      <protection hidden="1"/>
    </xf>
    <xf numFmtId="0" fontId="3" fillId="0" borderId="36" xfId="50" applyFont="1" applyFill="1" applyBorder="1" applyAlignment="1" applyProtection="1">
      <alignment horizontal="center" vertical="center" wrapText="1"/>
      <protection hidden="1"/>
    </xf>
    <xf numFmtId="171" fontId="3" fillId="0" borderId="36" xfId="50" applyNumberFormat="1" applyFont="1" applyFill="1" applyBorder="1" applyAlignment="1" applyProtection="1">
      <alignment horizontal="center" vertical="center" wrapText="1"/>
      <protection hidden="1"/>
    </xf>
    <xf numFmtId="0" fontId="16" fillId="19" borderId="49" xfId="0" applyFont="1" applyFill="1" applyBorder="1" applyAlignment="1" applyProtection="1">
      <alignment horizontal="center" vertical="center" wrapText="1"/>
      <protection hidden="1"/>
    </xf>
    <xf numFmtId="0" fontId="16" fillId="19" borderId="50" xfId="0" applyFont="1" applyFill="1" applyBorder="1" applyAlignment="1" applyProtection="1">
      <alignment horizontal="center" vertical="center" wrapText="1"/>
      <protection hidden="1"/>
    </xf>
    <xf numFmtId="0" fontId="16" fillId="19" borderId="51" xfId="0" applyFont="1" applyFill="1" applyBorder="1" applyAlignment="1" applyProtection="1">
      <alignment horizontal="center" vertical="center" wrapText="1"/>
      <protection hidden="1"/>
    </xf>
    <xf numFmtId="0" fontId="6" fillId="39" borderId="49" xfId="0" applyFont="1" applyFill="1" applyBorder="1" applyAlignment="1" applyProtection="1">
      <alignment horizontal="center" vertical="center" wrapText="1"/>
      <protection hidden="1"/>
    </xf>
    <xf numFmtId="0" fontId="6" fillId="39" borderId="50" xfId="0" applyFont="1" applyFill="1" applyBorder="1" applyAlignment="1" applyProtection="1">
      <alignment horizontal="center" vertical="center" wrapText="1"/>
      <protection hidden="1"/>
    </xf>
    <xf numFmtId="0" fontId="6" fillId="39" borderId="51" xfId="0" applyFont="1" applyFill="1" applyBorder="1" applyAlignment="1" applyProtection="1">
      <alignment horizontal="center" vertical="center" wrapText="1"/>
      <protection hidden="1"/>
    </xf>
    <xf numFmtId="0" fontId="5" fillId="42" borderId="24" xfId="0" applyFont="1" applyFill="1" applyBorder="1" applyAlignment="1" applyProtection="1">
      <alignment horizontal="center" vertical="center" wrapText="1"/>
      <protection hidden="1"/>
    </xf>
    <xf numFmtId="0" fontId="5" fillId="42" borderId="25" xfId="0" applyFont="1" applyFill="1" applyBorder="1" applyAlignment="1" applyProtection="1">
      <alignment horizontal="center" vertical="center"/>
      <protection hidden="1"/>
    </xf>
    <xf numFmtId="0" fontId="0" fillId="42" borderId="25" xfId="0" applyFont="1" applyFill="1" applyBorder="1" applyAlignment="1" applyProtection="1">
      <alignment horizontal="center" vertical="center" wrapText="1"/>
      <protection hidden="1"/>
    </xf>
    <xf numFmtId="0" fontId="5" fillId="42" borderId="25" xfId="0" applyFont="1" applyFill="1" applyBorder="1" applyAlignment="1" applyProtection="1">
      <alignment horizontal="center" vertical="center" wrapText="1"/>
      <protection hidden="1"/>
    </xf>
    <xf numFmtId="2" fontId="5" fillId="42" borderId="25" xfId="0" applyNumberFormat="1" applyFont="1" applyFill="1" applyBorder="1" applyAlignment="1" applyProtection="1">
      <alignment horizontal="center" vertical="center" wrapText="1"/>
      <protection hidden="1"/>
    </xf>
    <xf numFmtId="0" fontId="5" fillId="42" borderId="26" xfId="0" applyFont="1" applyFill="1" applyBorder="1" applyAlignment="1" applyProtection="1">
      <alignment horizontal="center" vertical="center" wrapText="1"/>
      <protection hidden="1"/>
    </xf>
    <xf numFmtId="0" fontId="5" fillId="42" borderId="35" xfId="0" applyFont="1" applyFill="1" applyBorder="1" applyAlignment="1" applyProtection="1">
      <alignment horizontal="center" vertical="center" wrapText="1"/>
      <protection hidden="1"/>
    </xf>
    <xf numFmtId="0" fontId="5" fillId="42" borderId="36" xfId="0" applyFont="1" applyFill="1" applyBorder="1" applyAlignment="1" applyProtection="1">
      <alignment horizontal="center" vertical="center"/>
      <protection hidden="1"/>
    </xf>
    <xf numFmtId="0" fontId="0" fillId="42" borderId="36" xfId="0" applyFont="1" applyFill="1" applyBorder="1" applyAlignment="1" applyProtection="1">
      <alignment horizontal="center" vertical="center" wrapText="1"/>
      <protection hidden="1"/>
    </xf>
    <xf numFmtId="0" fontId="5" fillId="42" borderId="36" xfId="0" applyFont="1" applyFill="1" applyBorder="1" applyAlignment="1" applyProtection="1">
      <alignment horizontal="center" vertical="center" wrapText="1"/>
      <protection hidden="1"/>
    </xf>
    <xf numFmtId="2" fontId="0" fillId="42" borderId="36" xfId="0" applyNumberFormat="1" applyFont="1" applyFill="1" applyBorder="1" applyAlignment="1" applyProtection="1">
      <alignment horizontal="center" vertical="center" wrapText="1"/>
      <protection hidden="1"/>
    </xf>
    <xf numFmtId="171" fontId="5" fillId="42" borderId="36" xfId="0" applyNumberFormat="1" applyFont="1" applyFill="1" applyBorder="1" applyAlignment="1" applyProtection="1">
      <alignment horizontal="center" vertical="center" wrapText="1"/>
      <protection hidden="1"/>
    </xf>
    <xf numFmtId="0" fontId="5" fillId="42" borderId="43" xfId="0" applyFont="1" applyFill="1" applyBorder="1" applyAlignment="1" applyProtection="1">
      <alignment horizontal="center" vertical="center" wrapText="1"/>
      <protection hidden="1"/>
    </xf>
    <xf numFmtId="1" fontId="5" fillId="42" borderId="35" xfId="0" applyNumberFormat="1" applyFont="1" applyFill="1" applyBorder="1" applyAlignment="1" applyProtection="1">
      <alignment horizontal="center" vertical="center" wrapText="1"/>
      <protection hidden="1"/>
    </xf>
    <xf numFmtId="1" fontId="5" fillId="42" borderId="36" xfId="0" applyNumberFormat="1" applyFont="1" applyFill="1" applyBorder="1" applyAlignment="1" applyProtection="1">
      <alignment horizontal="center" vertical="center"/>
      <protection hidden="1"/>
    </xf>
    <xf numFmtId="1" fontId="0" fillId="42" borderId="36" xfId="0" applyNumberFormat="1" applyFont="1" applyFill="1" applyBorder="1" applyAlignment="1" applyProtection="1">
      <alignment horizontal="center" vertical="center" wrapText="1"/>
      <protection hidden="1"/>
    </xf>
    <xf numFmtId="1" fontId="5" fillId="42" borderId="36" xfId="0" applyNumberFormat="1" applyFont="1" applyFill="1" applyBorder="1" applyAlignment="1" applyProtection="1">
      <alignment horizontal="center" vertical="center" wrapText="1"/>
      <protection hidden="1"/>
    </xf>
    <xf numFmtId="171" fontId="0" fillId="42" borderId="36" xfId="0" applyNumberFormat="1" applyFont="1" applyFill="1" applyBorder="1" applyAlignment="1" applyProtection="1">
      <alignment horizontal="right" vertical="center" wrapText="1"/>
      <protection hidden="1"/>
    </xf>
    <xf numFmtId="1" fontId="5" fillId="42" borderId="43" xfId="0" applyNumberFormat="1" applyFont="1" applyFill="1" applyBorder="1" applyAlignment="1" applyProtection="1">
      <alignment horizontal="center" vertical="center" wrapText="1"/>
      <protection hidden="1"/>
    </xf>
    <xf numFmtId="1" fontId="0" fillId="13" borderId="35" xfId="0" applyNumberFormat="1" applyFont="1" applyFill="1" applyBorder="1" applyAlignment="1" applyProtection="1">
      <alignment horizontal="center" vertical="center" wrapText="1"/>
      <protection hidden="1"/>
    </xf>
    <xf numFmtId="1" fontId="0" fillId="13" borderId="36" xfId="0" applyNumberFormat="1" applyFont="1" applyFill="1" applyBorder="1" applyAlignment="1" applyProtection="1">
      <alignment horizontal="center" vertical="center"/>
      <protection hidden="1"/>
    </xf>
    <xf numFmtId="1" fontId="0" fillId="13" borderId="36" xfId="0" applyNumberFormat="1" applyFont="1" applyFill="1" applyBorder="1" applyAlignment="1" applyProtection="1">
      <alignment horizontal="center" vertical="center" wrapText="1"/>
      <protection hidden="1"/>
    </xf>
    <xf numFmtId="0" fontId="0" fillId="13" borderId="36" xfId="0" applyFont="1" applyFill="1" applyBorder="1" applyAlignment="1" applyProtection="1">
      <alignment wrapText="1"/>
      <protection hidden="1"/>
    </xf>
    <xf numFmtId="2" fontId="0" fillId="13" borderId="36" xfId="0" applyNumberFormat="1" applyFont="1" applyFill="1" applyBorder="1" applyAlignment="1" applyProtection="1">
      <alignment horizontal="center" vertical="center" wrapText="1"/>
      <protection hidden="1"/>
    </xf>
    <xf numFmtId="171" fontId="0" fillId="13" borderId="36" xfId="0" applyNumberFormat="1" applyFont="1" applyFill="1" applyBorder="1" applyAlignment="1" applyProtection="1">
      <alignment horizontal="right" vertical="center" wrapText="1"/>
      <protection hidden="1"/>
    </xf>
    <xf numFmtId="1" fontId="0" fillId="13" borderId="43" xfId="0" applyNumberFormat="1" applyFont="1" applyFill="1" applyBorder="1" applyAlignment="1" applyProtection="1">
      <alignment horizontal="center" vertical="center" wrapText="1"/>
      <protection hidden="1"/>
    </xf>
    <xf numFmtId="1" fontId="0" fillId="13" borderId="36" xfId="0" applyNumberFormat="1" applyFont="1" applyFill="1" applyBorder="1" applyAlignment="1" applyProtection="1">
      <alignment horizontal="left" vertical="center" wrapText="1"/>
      <protection hidden="1"/>
    </xf>
    <xf numFmtId="0" fontId="0" fillId="13" borderId="36" xfId="0" applyFont="1" applyFill="1" applyBorder="1" applyAlignment="1" applyProtection="1">
      <alignment horizontal="center" vertical="center"/>
      <protection hidden="1"/>
    </xf>
    <xf numFmtId="0" fontId="0" fillId="13" borderId="36" xfId="0" applyFont="1" applyFill="1" applyBorder="1" applyAlignment="1" applyProtection="1">
      <alignment horizontal="center" vertical="center" wrapText="1"/>
      <protection hidden="1"/>
    </xf>
    <xf numFmtId="1" fontId="0" fillId="13" borderId="43" xfId="0" applyNumberFormat="1" applyFont="1" applyFill="1" applyBorder="1" applyAlignment="1" applyProtection="1">
      <alignment vertical="center" wrapText="1"/>
      <protection hidden="1"/>
    </xf>
    <xf numFmtId="172" fontId="0" fillId="42" borderId="35" xfId="0" applyNumberFormat="1" applyFont="1" applyFill="1" applyBorder="1" applyAlignment="1" applyProtection="1">
      <alignment horizontal="center" vertical="center" wrapText="1"/>
      <protection hidden="1"/>
    </xf>
    <xf numFmtId="172" fontId="0" fillId="42" borderId="36" xfId="0" applyNumberFormat="1" applyFont="1" applyFill="1" applyBorder="1" applyAlignment="1" applyProtection="1">
      <alignment horizontal="center" vertical="center"/>
      <protection hidden="1"/>
    </xf>
    <xf numFmtId="172" fontId="0" fillId="42" borderId="36" xfId="0" applyNumberFormat="1" applyFont="1" applyFill="1" applyBorder="1" applyAlignment="1" applyProtection="1">
      <alignment horizontal="center" vertical="center" wrapText="1"/>
      <protection hidden="1"/>
    </xf>
    <xf numFmtId="49" fontId="5" fillId="42" borderId="36" xfId="0" applyNumberFormat="1" applyFont="1" applyFill="1" applyBorder="1" applyAlignment="1" applyProtection="1">
      <alignment horizontal="center" vertical="center" wrapText="1"/>
      <protection hidden="1"/>
    </xf>
    <xf numFmtId="49" fontId="0" fillId="42" borderId="36" xfId="0" applyNumberFormat="1" applyFont="1" applyFill="1" applyBorder="1" applyAlignment="1" applyProtection="1">
      <alignment horizontal="center" vertical="center" wrapText="1"/>
      <protection hidden="1"/>
    </xf>
    <xf numFmtId="171" fontId="5" fillId="42" borderId="36" xfId="0" applyNumberFormat="1" applyFont="1" applyFill="1" applyBorder="1" applyAlignment="1" applyProtection="1">
      <alignment horizontal="right" vertical="center" wrapText="1"/>
      <protection hidden="1"/>
    </xf>
    <xf numFmtId="171" fontId="5" fillId="42" borderId="43" xfId="0" applyNumberFormat="1" applyFont="1" applyFill="1" applyBorder="1" applyAlignment="1" applyProtection="1">
      <alignment horizontal="right" vertical="center" wrapText="1"/>
      <protection hidden="1"/>
    </xf>
    <xf numFmtId="0" fontId="2" fillId="28" borderId="0" xfId="0" applyFont="1" applyFill="1" applyBorder="1" applyAlignment="1" applyProtection="1">
      <alignment horizontal="left"/>
      <protection hidden="1"/>
    </xf>
    <xf numFmtId="1" fontId="0" fillId="13" borderId="89" xfId="0" applyNumberFormat="1" applyFont="1" applyFill="1" applyBorder="1" applyAlignment="1" applyProtection="1">
      <alignment vertical="center" wrapText="1"/>
      <protection hidden="1"/>
    </xf>
    <xf numFmtId="1" fontId="0" fillId="13" borderId="47" xfId="0" applyNumberFormat="1" applyFont="1" applyFill="1" applyBorder="1" applyAlignment="1" applyProtection="1">
      <alignment vertical="center" wrapText="1"/>
      <protection hidden="1"/>
    </xf>
    <xf numFmtId="1" fontId="0" fillId="13" borderId="48" xfId="0" applyNumberFormat="1" applyFont="1" applyFill="1" applyBorder="1" applyAlignment="1" applyProtection="1">
      <alignment vertical="center" wrapText="1"/>
      <protection hidden="1"/>
    </xf>
    <xf numFmtId="0" fontId="0" fillId="42" borderId="36" xfId="0" applyFont="1" applyFill="1" applyBorder="1" applyAlignment="1" applyProtection="1">
      <alignment horizontal="center" vertical="center"/>
      <protection hidden="1"/>
    </xf>
    <xf numFmtId="0" fontId="0" fillId="13" borderId="35" xfId="0" applyFont="1" applyFill="1" applyBorder="1" applyAlignment="1" applyProtection="1">
      <alignment horizontal="center" vertical="center" wrapText="1"/>
      <protection hidden="1"/>
    </xf>
    <xf numFmtId="0" fontId="0" fillId="13" borderId="36" xfId="50" applyFont="1" applyFill="1" applyBorder="1" applyAlignment="1" applyProtection="1">
      <alignment horizontal="center" vertical="center"/>
      <protection hidden="1"/>
    </xf>
    <xf numFmtId="0" fontId="0" fillId="13" borderId="36" xfId="50" applyFont="1" applyFill="1" applyBorder="1" applyAlignment="1" applyProtection="1">
      <alignment horizontal="center" vertical="center" wrapText="1"/>
      <protection hidden="1"/>
    </xf>
    <xf numFmtId="0" fontId="0" fillId="13" borderId="36" xfId="0" applyFill="1" applyBorder="1" applyAlignment="1" applyProtection="1">
      <alignment horizontal="center" vertical="center"/>
      <protection hidden="1"/>
    </xf>
    <xf numFmtId="0" fontId="0" fillId="13" borderId="36" xfId="0" applyFill="1" applyBorder="1" applyAlignment="1" applyProtection="1">
      <alignment vertical="center" wrapText="1"/>
      <protection hidden="1"/>
    </xf>
    <xf numFmtId="171" fontId="5" fillId="13" borderId="43" xfId="48" applyNumberFormat="1" applyFont="1" applyFill="1" applyBorder="1" applyAlignment="1" applyProtection="1">
      <alignment horizontal="right" vertical="center" wrapText="1"/>
      <protection hidden="1"/>
    </xf>
    <xf numFmtId="0" fontId="0" fillId="42" borderId="35" xfId="0" applyFont="1" applyFill="1" applyBorder="1" applyAlignment="1" applyProtection="1">
      <alignment horizontal="center" vertical="center" wrapText="1"/>
      <protection hidden="1"/>
    </xf>
    <xf numFmtId="0" fontId="0" fillId="13" borderId="36" xfId="0" applyFont="1" applyFill="1" applyBorder="1" applyAlignment="1" applyProtection="1">
      <alignment horizontal="center" vertical="center"/>
      <protection hidden="1"/>
    </xf>
    <xf numFmtId="0" fontId="0" fillId="13" borderId="36" xfId="0" applyFont="1" applyFill="1" applyBorder="1" applyAlignment="1" applyProtection="1">
      <alignment horizontal="center" vertical="center" wrapText="1"/>
      <protection hidden="1"/>
    </xf>
    <xf numFmtId="0" fontId="5" fillId="13" borderId="36" xfId="0" applyFont="1" applyFill="1" applyBorder="1" applyAlignment="1" applyProtection="1">
      <alignment horizontal="center" vertical="center" wrapText="1"/>
      <protection hidden="1"/>
    </xf>
    <xf numFmtId="171" fontId="5" fillId="13" borderId="36" xfId="0" applyNumberFormat="1" applyFont="1" applyFill="1" applyBorder="1" applyAlignment="1" applyProtection="1">
      <alignment horizontal="right" vertical="center" wrapText="1"/>
      <protection hidden="1"/>
    </xf>
    <xf numFmtId="171" fontId="5" fillId="13" borderId="43" xfId="0" applyNumberFormat="1" applyFont="1" applyFill="1" applyBorder="1" applyAlignment="1" applyProtection="1">
      <alignment horizontal="right" vertical="center" wrapText="1"/>
      <protection hidden="1"/>
    </xf>
    <xf numFmtId="171" fontId="0" fillId="42" borderId="36" xfId="0" applyNumberFormat="1" applyFont="1" applyFill="1" applyBorder="1" applyAlignment="1" applyProtection="1">
      <alignment horizontal="center" vertical="center" wrapText="1"/>
      <protection hidden="1"/>
    </xf>
    <xf numFmtId="171" fontId="0" fillId="42" borderId="43" xfId="0" applyNumberFormat="1" applyFont="1" applyFill="1" applyBorder="1" applyAlignment="1" applyProtection="1">
      <alignment horizontal="center" vertical="center" wrapText="1"/>
      <protection hidden="1"/>
    </xf>
    <xf numFmtId="0" fontId="0" fillId="13" borderId="36" xfId="0" applyFont="1" applyFill="1" applyBorder="1" applyAlignment="1" applyProtection="1">
      <alignment horizontal="left" vertical="center" wrapText="1"/>
      <protection hidden="1"/>
    </xf>
    <xf numFmtId="171" fontId="0" fillId="13" borderId="36" xfId="0" applyNumberFormat="1" applyFont="1" applyFill="1" applyBorder="1" applyAlignment="1" applyProtection="1">
      <alignment horizontal="center" vertical="center" wrapText="1"/>
      <protection hidden="1"/>
    </xf>
    <xf numFmtId="2" fontId="0" fillId="13" borderId="89" xfId="0" applyNumberFormat="1" applyFont="1" applyFill="1" applyBorder="1" applyAlignment="1" applyProtection="1">
      <alignment vertical="center" wrapText="1"/>
      <protection hidden="1"/>
    </xf>
    <xf numFmtId="2" fontId="0" fillId="13" borderId="47" xfId="0" applyNumberFormat="1" applyFont="1" applyFill="1" applyBorder="1" applyAlignment="1" applyProtection="1">
      <alignment vertical="center" wrapText="1"/>
      <protection hidden="1"/>
    </xf>
    <xf numFmtId="2" fontId="0" fillId="13" borderId="48" xfId="0" applyNumberFormat="1" applyFont="1" applyFill="1" applyBorder="1" applyAlignment="1" applyProtection="1">
      <alignment vertical="center" wrapText="1"/>
      <protection hidden="1"/>
    </xf>
    <xf numFmtId="171" fontId="0" fillId="13" borderId="43" xfId="0" applyNumberFormat="1" applyFont="1" applyFill="1" applyBorder="1" applyAlignment="1" applyProtection="1">
      <alignment horizontal="right" vertical="center" wrapText="1"/>
      <protection hidden="1"/>
    </xf>
    <xf numFmtId="0" fontId="0" fillId="13" borderId="0" xfId="0" applyFill="1" applyBorder="1" applyAlignment="1" applyProtection="1">
      <alignment horizontal="left" vertical="center" wrapText="1"/>
      <protection hidden="1"/>
    </xf>
    <xf numFmtId="0" fontId="0" fillId="13" borderId="0" xfId="0" applyFill="1" applyBorder="1" applyAlignment="1" applyProtection="1">
      <alignment horizontal="center" vertical="center"/>
      <protection hidden="1"/>
    </xf>
    <xf numFmtId="0" fontId="0" fillId="13" borderId="36" xfId="0" applyFill="1" applyBorder="1" applyAlignment="1" applyProtection="1">
      <alignment horizontal="left" vertical="center" wrapText="1"/>
      <protection hidden="1"/>
    </xf>
    <xf numFmtId="0" fontId="0" fillId="39" borderId="38" xfId="0" applyFont="1" applyFill="1" applyBorder="1" applyAlignment="1" applyProtection="1">
      <alignment horizontal="center" vertical="center" wrapText="1"/>
      <protection hidden="1"/>
    </xf>
    <xf numFmtId="0" fontId="0" fillId="39" borderId="38" xfId="0" applyFont="1" applyFill="1" applyBorder="1" applyAlignment="1" applyProtection="1">
      <alignment horizontal="left" vertical="center" wrapText="1"/>
      <protection hidden="1"/>
    </xf>
    <xf numFmtId="0" fontId="0" fillId="39" borderId="38" xfId="0" applyFill="1" applyBorder="1" applyAlignment="1" applyProtection="1">
      <alignment horizontal="center" vertical="center"/>
      <protection hidden="1"/>
    </xf>
    <xf numFmtId="0" fontId="0" fillId="39" borderId="36" xfId="0" applyFill="1" applyBorder="1" applyAlignment="1" applyProtection="1">
      <alignment horizontal="center" vertical="center"/>
      <protection hidden="1"/>
    </xf>
    <xf numFmtId="0" fontId="0" fillId="39" borderId="36" xfId="0" applyFont="1" applyFill="1" applyBorder="1" applyAlignment="1" applyProtection="1">
      <alignment horizontal="center" vertical="center" wrapText="1"/>
      <protection hidden="1"/>
    </xf>
    <xf numFmtId="0" fontId="0" fillId="39" borderId="36" xfId="0" applyFont="1" applyFill="1" applyBorder="1" applyAlignment="1" applyProtection="1">
      <alignment horizontal="left" vertical="center" wrapText="1"/>
      <protection hidden="1"/>
    </xf>
    <xf numFmtId="0" fontId="0" fillId="39" borderId="36" xfId="0" applyFont="1" applyFill="1" applyBorder="1" applyAlignment="1" applyProtection="1">
      <alignment horizontal="center" vertical="center"/>
      <protection hidden="1"/>
    </xf>
    <xf numFmtId="0" fontId="0" fillId="13" borderId="35" xfId="0" applyFont="1" applyFill="1" applyBorder="1" applyAlignment="1" applyProtection="1">
      <alignment vertical="center" wrapText="1"/>
      <protection hidden="1"/>
    </xf>
    <xf numFmtId="0" fontId="0" fillId="13" borderId="36" xfId="0" applyFont="1" applyFill="1" applyBorder="1" applyAlignment="1" applyProtection="1">
      <alignment vertical="center"/>
      <protection hidden="1"/>
    </xf>
    <xf numFmtId="0" fontId="0" fillId="13" borderId="36" xfId="0" applyFont="1" applyFill="1" applyBorder="1" applyAlignment="1" applyProtection="1">
      <alignment vertical="center" wrapText="1"/>
      <protection hidden="1"/>
    </xf>
    <xf numFmtId="0" fontId="0" fillId="13" borderId="43" xfId="0" applyFont="1" applyFill="1" applyBorder="1" applyAlignment="1" applyProtection="1">
      <alignment vertical="center" wrapText="1"/>
      <protection hidden="1"/>
    </xf>
    <xf numFmtId="0" fontId="0" fillId="13" borderId="36" xfId="0" applyFont="1" applyFill="1" applyBorder="1" applyAlignment="1" applyProtection="1">
      <alignment horizontal="left" vertical="center" wrapText="1"/>
      <protection hidden="1"/>
    </xf>
    <xf numFmtId="0" fontId="0" fillId="13" borderId="41" xfId="0" applyFont="1" applyFill="1" applyBorder="1" applyAlignment="1" applyProtection="1">
      <alignment horizontal="center" vertical="center" wrapText="1"/>
      <protection hidden="1"/>
    </xf>
    <xf numFmtId="0" fontId="0" fillId="13" borderId="36" xfId="0" applyFill="1" applyBorder="1" applyAlignment="1" applyProtection="1">
      <alignment vertical="center"/>
      <protection hidden="1"/>
    </xf>
    <xf numFmtId="0" fontId="0" fillId="13" borderId="0" xfId="0" applyFill="1" applyBorder="1" applyAlignment="1" applyProtection="1">
      <alignment wrapText="1"/>
      <protection hidden="1"/>
    </xf>
    <xf numFmtId="0" fontId="5" fillId="13" borderId="35" xfId="0" applyFont="1" applyFill="1" applyBorder="1" applyAlignment="1" applyProtection="1">
      <alignment vertical="center" wrapText="1"/>
      <protection hidden="1"/>
    </xf>
    <xf numFmtId="0" fontId="5" fillId="13" borderId="36" xfId="0" applyFont="1" applyFill="1" applyBorder="1" applyAlignment="1" applyProtection="1">
      <alignment vertical="center"/>
      <protection hidden="1"/>
    </xf>
    <xf numFmtId="0" fontId="5" fillId="13" borderId="36" xfId="0" applyFont="1" applyFill="1" applyBorder="1" applyAlignment="1" applyProtection="1">
      <alignment vertical="center" wrapText="1"/>
      <protection hidden="1"/>
    </xf>
    <xf numFmtId="0" fontId="5" fillId="13" borderId="43" xfId="0" applyFont="1" applyFill="1" applyBorder="1" applyAlignment="1" applyProtection="1">
      <alignment vertical="center" wrapText="1"/>
      <protection hidden="1"/>
    </xf>
    <xf numFmtId="0" fontId="5" fillId="13" borderId="35" xfId="0" applyFont="1" applyFill="1" applyBorder="1" applyAlignment="1" applyProtection="1">
      <alignment horizontal="center" vertical="center" wrapText="1"/>
      <protection hidden="1"/>
    </xf>
    <xf numFmtId="0" fontId="5" fillId="13" borderId="36" xfId="0" applyFont="1" applyFill="1" applyBorder="1" applyAlignment="1" applyProtection="1">
      <alignment horizontal="center" vertical="center"/>
      <protection hidden="1"/>
    </xf>
    <xf numFmtId="171" fontId="10" fillId="13" borderId="43" xfId="0" applyNumberFormat="1" applyFont="1" applyFill="1" applyBorder="1" applyAlignment="1" applyProtection="1">
      <alignment horizontal="right" vertical="center" wrapText="1"/>
      <protection hidden="1"/>
    </xf>
    <xf numFmtId="2" fontId="0" fillId="39" borderId="36" xfId="0" applyNumberFormat="1" applyFont="1" applyFill="1" applyBorder="1" applyAlignment="1" applyProtection="1">
      <alignment horizontal="center" vertical="center" wrapText="1"/>
      <protection hidden="1"/>
    </xf>
    <xf numFmtId="171" fontId="0" fillId="39" borderId="36" xfId="0" applyNumberFormat="1" applyFont="1" applyFill="1" applyBorder="1" applyAlignment="1" applyProtection="1">
      <alignment horizontal="right" vertical="center" wrapText="1"/>
      <protection hidden="1"/>
    </xf>
    <xf numFmtId="171" fontId="10" fillId="39" borderId="43" xfId="0" applyNumberFormat="1" applyFont="1" applyFill="1" applyBorder="1" applyAlignment="1" applyProtection="1">
      <alignment horizontal="right" vertical="center" wrapText="1"/>
      <protection hidden="1"/>
    </xf>
    <xf numFmtId="2" fontId="0" fillId="39" borderId="36" xfId="0" applyNumberFormat="1" applyFont="1" applyFill="1" applyBorder="1" applyAlignment="1" applyProtection="1">
      <alignment horizontal="right" vertical="center" wrapText="1"/>
      <protection hidden="1"/>
    </xf>
    <xf numFmtId="171" fontId="5" fillId="42" borderId="43" xfId="48" applyNumberFormat="1" applyFont="1" applyFill="1" applyBorder="1" applyAlignment="1" applyProtection="1">
      <alignment horizontal="right" vertical="center" wrapText="1"/>
      <protection hidden="1"/>
    </xf>
    <xf numFmtId="0" fontId="10" fillId="13" borderId="35" xfId="0" applyFont="1" applyFill="1" applyBorder="1" applyAlignment="1" applyProtection="1">
      <alignment vertical="center" wrapText="1"/>
      <protection hidden="1"/>
    </xf>
    <xf numFmtId="0" fontId="10" fillId="13" borderId="36" xfId="0" applyFont="1" applyFill="1" applyBorder="1" applyAlignment="1" applyProtection="1">
      <alignment vertical="center"/>
      <protection hidden="1"/>
    </xf>
    <xf numFmtId="0" fontId="10" fillId="13" borderId="36" xfId="0" applyFont="1" applyFill="1" applyBorder="1" applyAlignment="1" applyProtection="1">
      <alignment vertical="center" wrapText="1"/>
      <protection hidden="1"/>
    </xf>
    <xf numFmtId="0" fontId="10" fillId="13" borderId="43" xfId="0" applyFont="1" applyFill="1" applyBorder="1" applyAlignment="1" applyProtection="1">
      <alignment vertical="center" wrapText="1"/>
      <protection hidden="1"/>
    </xf>
    <xf numFmtId="0" fontId="5" fillId="42" borderId="35" xfId="50" applyFont="1" applyFill="1" applyBorder="1" applyAlignment="1" applyProtection="1">
      <alignment horizontal="center" vertical="center" wrapText="1"/>
      <protection hidden="1"/>
    </xf>
    <xf numFmtId="0" fontId="5" fillId="42" borderId="36" xfId="50" applyFont="1" applyFill="1" applyBorder="1" applyAlignment="1" applyProtection="1">
      <alignment horizontal="center" vertical="center"/>
      <protection hidden="1"/>
    </xf>
    <xf numFmtId="0" fontId="0" fillId="42" borderId="36" xfId="50" applyFont="1" applyFill="1" applyBorder="1" applyAlignment="1" applyProtection="1">
      <alignment horizontal="center" vertical="center" wrapText="1"/>
      <protection hidden="1"/>
    </xf>
    <xf numFmtId="0" fontId="5" fillId="42" borderId="36" xfId="50" applyFont="1" applyFill="1" applyBorder="1" applyAlignment="1" applyProtection="1">
      <alignment horizontal="center" vertical="center" wrapText="1"/>
      <protection hidden="1"/>
    </xf>
    <xf numFmtId="2" fontId="0" fillId="42" borderId="36" xfId="50" applyNumberFormat="1" applyFont="1" applyFill="1" applyBorder="1" applyAlignment="1" applyProtection="1">
      <alignment horizontal="center" vertical="center" wrapText="1"/>
      <protection hidden="1"/>
    </xf>
    <xf numFmtId="171" fontId="0" fillId="42" borderId="36" xfId="50" applyNumberFormat="1" applyFont="1" applyFill="1" applyBorder="1" applyAlignment="1" applyProtection="1">
      <alignment horizontal="right" vertical="center" wrapText="1"/>
      <protection hidden="1"/>
    </xf>
    <xf numFmtId="171" fontId="10" fillId="42" borderId="43" xfId="50" applyNumberFormat="1" applyFont="1" applyFill="1" applyBorder="1" applyAlignment="1" applyProtection="1">
      <alignment horizontal="right" vertical="center" wrapText="1"/>
      <protection hidden="1"/>
    </xf>
    <xf numFmtId="0" fontId="0" fillId="13" borderId="42" xfId="50" applyFont="1" applyFill="1" applyBorder="1" applyAlignment="1" applyProtection="1">
      <alignment horizontal="center" vertical="center" wrapText="1"/>
      <protection hidden="1"/>
    </xf>
    <xf numFmtId="0" fontId="0" fillId="13" borderId="10" xfId="50" applyNumberFormat="1" applyFont="1" applyFill="1" applyBorder="1" applyAlignment="1" applyProtection="1">
      <alignment horizontal="center" vertical="center" wrapText="1"/>
      <protection hidden="1"/>
    </xf>
    <xf numFmtId="0" fontId="0" fillId="13" borderId="36" xfId="50" applyFont="1" applyFill="1" applyBorder="1" applyAlignment="1" applyProtection="1">
      <alignment horizontal="left" vertical="center" wrapText="1"/>
      <protection hidden="1"/>
    </xf>
    <xf numFmtId="0" fontId="0" fillId="13" borderId="36" xfId="50" applyNumberFormat="1" applyFont="1" applyFill="1" applyBorder="1" applyAlignment="1" applyProtection="1">
      <alignment horizontal="center" vertical="center" wrapText="1"/>
      <protection hidden="1"/>
    </xf>
    <xf numFmtId="171" fontId="10" fillId="13" borderId="43" xfId="50" applyNumberFormat="1" applyFont="1" applyFill="1" applyBorder="1" applyAlignment="1" applyProtection="1">
      <alignment horizontal="right" vertical="center" wrapText="1"/>
      <protection hidden="1"/>
    </xf>
    <xf numFmtId="0" fontId="0" fillId="13" borderId="0" xfId="50" applyFont="1" applyFill="1" applyBorder="1" applyAlignment="1" applyProtection="1">
      <alignment horizontal="center" vertical="center" wrapText="1"/>
      <protection hidden="1"/>
    </xf>
    <xf numFmtId="1" fontId="0" fillId="13" borderId="36" xfId="50" applyNumberFormat="1" applyFont="1" applyFill="1" applyBorder="1" applyAlignment="1" applyProtection="1">
      <alignment horizontal="center" vertical="center" wrapText="1"/>
      <protection hidden="1"/>
    </xf>
    <xf numFmtId="0" fontId="0" fillId="13" borderId="0" xfId="50" applyNumberFormat="1" applyFont="1" applyFill="1" applyBorder="1" applyAlignment="1" applyProtection="1">
      <alignment horizontal="center" vertical="center" wrapText="1"/>
      <protection hidden="1"/>
    </xf>
    <xf numFmtId="0" fontId="0" fillId="13" borderId="36" xfId="0" applyFont="1" applyFill="1" applyBorder="1" applyAlignment="1" applyProtection="1">
      <alignment wrapText="1"/>
      <protection hidden="1"/>
    </xf>
    <xf numFmtId="2" fontId="0" fillId="13" borderId="38" xfId="50" applyNumberFormat="1" applyFont="1" applyFill="1" applyBorder="1" applyAlignment="1" applyProtection="1">
      <alignment horizontal="center" vertical="center" wrapText="1"/>
      <protection hidden="1"/>
    </xf>
    <xf numFmtId="171" fontId="0" fillId="13" borderId="43" xfId="50" applyNumberFormat="1" applyFont="1" applyFill="1" applyBorder="1" applyAlignment="1" applyProtection="1">
      <alignment horizontal="right" vertical="center" wrapText="1"/>
      <protection hidden="1"/>
    </xf>
    <xf numFmtId="0" fontId="45" fillId="13" borderId="43" xfId="44" applyFill="1" applyBorder="1" applyAlignment="1" applyProtection="1">
      <alignment/>
      <protection hidden="1"/>
    </xf>
    <xf numFmtId="0" fontId="0" fillId="13" borderId="36" xfId="0" applyFill="1" applyBorder="1" applyAlignment="1" applyProtection="1">
      <alignment horizontal="center"/>
      <protection hidden="1"/>
    </xf>
    <xf numFmtId="0" fontId="0" fillId="13" borderId="0" xfId="0" applyFill="1" applyBorder="1" applyAlignment="1" applyProtection="1">
      <alignment/>
      <protection hidden="1"/>
    </xf>
    <xf numFmtId="2" fontId="0" fillId="13" borderId="36" xfId="50" applyNumberFormat="1" applyFont="1" applyFill="1" applyBorder="1" applyAlignment="1" applyProtection="1">
      <alignment horizontal="center" vertical="center" wrapText="1"/>
      <protection hidden="1"/>
    </xf>
    <xf numFmtId="0" fontId="0" fillId="42" borderId="35" xfId="50" applyFont="1" applyFill="1" applyBorder="1" applyAlignment="1" applyProtection="1">
      <alignment horizontal="center" vertical="center" wrapText="1"/>
      <protection hidden="1"/>
    </xf>
    <xf numFmtId="0" fontId="0" fillId="42" borderId="36" xfId="50" applyFont="1" applyFill="1" applyBorder="1" applyAlignment="1" applyProtection="1">
      <alignment horizontal="center" vertical="center"/>
      <protection hidden="1"/>
    </xf>
    <xf numFmtId="171" fontId="5" fillId="28" borderId="40" xfId="0" applyNumberFormat="1" applyFont="1" applyFill="1" applyBorder="1" applyAlignment="1" applyProtection="1">
      <alignment horizontal="right" vertical="center" wrapText="1"/>
      <protection hidden="1"/>
    </xf>
    <xf numFmtId="171" fontId="2" fillId="28" borderId="0" xfId="50" applyNumberFormat="1" applyFont="1" applyFill="1" applyBorder="1" applyAlignment="1" applyProtection="1">
      <alignment horizontal="right" vertical="center"/>
      <protection hidden="1"/>
    </xf>
    <xf numFmtId="0" fontId="2" fillId="28" borderId="0" xfId="50" applyFont="1" applyFill="1" applyBorder="1" applyAlignment="1" applyProtection="1">
      <alignment horizontal="left"/>
      <protection hidden="1"/>
    </xf>
    <xf numFmtId="171" fontId="0" fillId="42" borderId="36" xfId="50" applyNumberFormat="1" applyFont="1" applyFill="1" applyBorder="1" applyAlignment="1" applyProtection="1">
      <alignment horizontal="center" vertical="center" wrapText="1"/>
      <protection hidden="1"/>
    </xf>
    <xf numFmtId="171" fontId="0" fillId="42" borderId="43" xfId="50" applyNumberFormat="1" applyFont="1" applyFill="1" applyBorder="1" applyAlignment="1" applyProtection="1">
      <alignment horizontal="center" vertical="center" wrapText="1"/>
      <protection hidden="1"/>
    </xf>
    <xf numFmtId="0" fontId="0" fillId="13" borderId="35" xfId="50" applyFont="1" applyFill="1" applyBorder="1" applyAlignment="1" applyProtection="1">
      <alignment horizontal="center" vertical="center" wrapText="1"/>
      <protection hidden="1"/>
    </xf>
    <xf numFmtId="0" fontId="0" fillId="13" borderId="36" xfId="0" applyFill="1" applyBorder="1" applyAlignment="1" applyProtection="1">
      <alignment wrapText="1"/>
      <protection hidden="1"/>
    </xf>
    <xf numFmtId="171" fontId="5" fillId="35" borderId="0" xfId="0" applyNumberFormat="1" applyFont="1" applyFill="1" applyBorder="1" applyAlignment="1" applyProtection="1">
      <alignment horizontal="right" vertical="center" wrapText="1"/>
      <protection hidden="1"/>
    </xf>
    <xf numFmtId="0" fontId="0" fillId="13" borderId="39" xfId="50" applyFont="1" applyFill="1" applyBorder="1" applyAlignment="1" applyProtection="1">
      <alignment horizontal="center" vertical="center"/>
      <protection hidden="1"/>
    </xf>
    <xf numFmtId="171" fontId="5" fillId="13" borderId="36" xfId="48" applyNumberFormat="1" applyFont="1" applyFill="1" applyBorder="1" applyAlignment="1" applyProtection="1">
      <alignment horizontal="right" vertical="center" wrapText="1"/>
      <protection hidden="1"/>
    </xf>
    <xf numFmtId="0" fontId="0" fillId="13" borderId="37" xfId="50" applyFont="1" applyFill="1" applyBorder="1" applyAlignment="1" applyProtection="1">
      <alignment horizontal="center" vertical="center" wrapText="1"/>
      <protection hidden="1"/>
    </xf>
    <xf numFmtId="0" fontId="0" fillId="13" borderId="37" xfId="0" applyFill="1" applyBorder="1" applyAlignment="1" applyProtection="1">
      <alignment/>
      <protection hidden="1"/>
    </xf>
    <xf numFmtId="1" fontId="0" fillId="13" borderId="37" xfId="0" applyNumberFormat="1" applyFont="1" applyFill="1" applyBorder="1" applyAlignment="1" applyProtection="1">
      <alignment horizontal="center" vertical="center" wrapText="1"/>
      <protection hidden="1"/>
    </xf>
    <xf numFmtId="2" fontId="0" fillId="13" borderId="39" xfId="0" applyNumberFormat="1" applyFont="1" applyFill="1" applyBorder="1" applyAlignment="1" applyProtection="1">
      <alignment horizontal="center" vertical="center" wrapText="1"/>
      <protection hidden="1"/>
    </xf>
    <xf numFmtId="171" fontId="0" fillId="13" borderId="39" xfId="0" applyNumberFormat="1" applyFont="1" applyFill="1" applyBorder="1" applyAlignment="1" applyProtection="1">
      <alignment horizontal="right" vertical="center" wrapText="1"/>
      <protection hidden="1"/>
    </xf>
    <xf numFmtId="171" fontId="5" fillId="13" borderId="95" xfId="48" applyNumberFormat="1" applyFont="1" applyFill="1" applyBorder="1" applyAlignment="1" applyProtection="1">
      <alignment horizontal="right" vertical="center" wrapText="1"/>
      <protection hidden="1"/>
    </xf>
    <xf numFmtId="0" fontId="0" fillId="13" borderId="38" xfId="0" applyFont="1" applyFill="1" applyBorder="1" applyAlignment="1" applyProtection="1">
      <alignment horizontal="center" vertical="center"/>
      <protection hidden="1"/>
    </xf>
    <xf numFmtId="0" fontId="0" fillId="13" borderId="0" xfId="0" applyFont="1" applyFill="1" applyBorder="1" applyAlignment="1" applyProtection="1">
      <alignment wrapText="1"/>
      <protection hidden="1"/>
    </xf>
    <xf numFmtId="0" fontId="0" fillId="13" borderId="38" xfId="50" applyFont="1" applyFill="1" applyBorder="1" applyAlignment="1" applyProtection="1">
      <alignment horizontal="center" vertical="center" wrapText="1"/>
      <protection hidden="1"/>
    </xf>
    <xf numFmtId="1" fontId="0" fillId="13" borderId="38" xfId="0" applyNumberFormat="1" applyFont="1" applyFill="1" applyBorder="1" applyAlignment="1" applyProtection="1">
      <alignment horizontal="center"/>
      <protection hidden="1"/>
    </xf>
    <xf numFmtId="171" fontId="5" fillId="39" borderId="43" xfId="48" applyNumberFormat="1" applyFont="1" applyFill="1" applyBorder="1" applyAlignment="1" applyProtection="1">
      <alignment horizontal="right" vertical="center" wrapText="1"/>
      <protection hidden="1"/>
    </xf>
    <xf numFmtId="171" fontId="5" fillId="28" borderId="0" xfId="0" applyNumberFormat="1" applyFont="1" applyFill="1" applyBorder="1" applyAlignment="1" applyProtection="1">
      <alignment horizontal="right" vertical="center" wrapText="1"/>
      <protection hidden="1"/>
    </xf>
    <xf numFmtId="0" fontId="0" fillId="39" borderId="35" xfId="50" applyFont="1" applyFill="1" applyBorder="1" applyAlignment="1" applyProtection="1">
      <alignment horizontal="center" vertical="center" wrapText="1"/>
      <protection hidden="1"/>
    </xf>
    <xf numFmtId="0" fontId="0" fillId="39" borderId="36" xfId="50" applyFont="1" applyFill="1" applyBorder="1" applyAlignment="1" applyProtection="1">
      <alignment horizontal="center" vertical="center"/>
      <protection hidden="1"/>
    </xf>
    <xf numFmtId="0" fontId="0" fillId="39" borderId="36" xfId="50" applyFont="1" applyFill="1" applyBorder="1" applyAlignment="1" applyProtection="1">
      <alignment horizontal="center" vertical="center" wrapText="1"/>
      <protection hidden="1"/>
    </xf>
    <xf numFmtId="0" fontId="5" fillId="39" borderId="36" xfId="0" applyFont="1" applyFill="1" applyBorder="1" applyAlignment="1" applyProtection="1">
      <alignment horizontal="center" vertical="center" wrapText="1"/>
      <protection hidden="1"/>
    </xf>
    <xf numFmtId="171" fontId="5" fillId="39" borderId="36" xfId="0" applyNumberFormat="1" applyFont="1" applyFill="1" applyBorder="1" applyAlignment="1" applyProtection="1">
      <alignment horizontal="right" vertical="center" wrapText="1"/>
      <protection hidden="1"/>
    </xf>
    <xf numFmtId="2" fontId="5" fillId="42" borderId="36" xfId="0" applyNumberFormat="1" applyFont="1" applyFill="1" applyBorder="1" applyAlignment="1" applyProtection="1">
      <alignment horizontal="center" vertical="center" wrapText="1"/>
      <protection hidden="1"/>
    </xf>
    <xf numFmtId="0" fontId="0" fillId="13" borderId="91" xfId="0" applyFont="1" applyFill="1" applyBorder="1" applyAlignment="1" applyProtection="1">
      <alignment horizontal="center" vertical="center" wrapText="1"/>
      <protection hidden="1"/>
    </xf>
    <xf numFmtId="0" fontId="0" fillId="13" borderId="53" xfId="0" applyFont="1" applyFill="1" applyBorder="1" applyAlignment="1" applyProtection="1">
      <alignment horizontal="center" vertical="center" wrapText="1"/>
      <protection hidden="1"/>
    </xf>
    <xf numFmtId="0" fontId="0" fillId="13" borderId="92" xfId="0" applyFont="1" applyFill="1" applyBorder="1" applyAlignment="1" applyProtection="1">
      <alignment horizontal="center" vertical="center" wrapText="1"/>
      <protection hidden="1"/>
    </xf>
    <xf numFmtId="0" fontId="3" fillId="42" borderId="58" xfId="0" applyFont="1" applyFill="1" applyBorder="1" applyAlignment="1" applyProtection="1">
      <alignment horizontal="center" vertical="center" wrapText="1"/>
      <protection hidden="1"/>
    </xf>
    <xf numFmtId="0" fontId="3" fillId="42" borderId="59" xfId="0" applyFont="1" applyFill="1" applyBorder="1" applyAlignment="1" applyProtection="1">
      <alignment horizontal="center" vertical="center" wrapText="1"/>
      <protection hidden="1"/>
    </xf>
    <xf numFmtId="0" fontId="3" fillId="42" borderId="96" xfId="0" applyFont="1" applyFill="1" applyBorder="1" applyAlignment="1" applyProtection="1">
      <alignment horizontal="center" vertical="center" wrapText="1"/>
      <protection hidden="1"/>
    </xf>
    <xf numFmtId="171" fontId="3" fillId="19" borderId="97" xfId="0" applyNumberFormat="1" applyFont="1" applyFill="1" applyBorder="1" applyAlignment="1" applyProtection="1">
      <alignment horizontal="center" vertical="center" wrapText="1"/>
      <protection hidden="1"/>
    </xf>
    <xf numFmtId="171" fontId="3" fillId="19" borderId="63" xfId="0" applyNumberFormat="1" applyFont="1" applyFill="1" applyBorder="1" applyAlignment="1" applyProtection="1">
      <alignment horizontal="center" vertical="center" wrapText="1"/>
      <protection hidden="1"/>
    </xf>
    <xf numFmtId="0" fontId="3" fillId="42" borderId="32" xfId="0" applyFont="1" applyFill="1" applyBorder="1" applyAlignment="1" applyProtection="1">
      <alignment horizontal="center" vertical="center" wrapText="1"/>
      <protection hidden="1"/>
    </xf>
    <xf numFmtId="0" fontId="3" fillId="42" borderId="33" xfId="0" applyFont="1" applyFill="1" applyBorder="1" applyAlignment="1" applyProtection="1">
      <alignment horizontal="center" vertical="center" wrapText="1"/>
      <protection hidden="1"/>
    </xf>
    <xf numFmtId="0" fontId="3" fillId="42" borderId="98" xfId="0" applyFont="1" applyFill="1" applyBorder="1" applyAlignment="1" applyProtection="1">
      <alignment horizontal="center" vertical="center" wrapText="1"/>
      <protection hidden="1"/>
    </xf>
    <xf numFmtId="171" fontId="3" fillId="19" borderId="99" xfId="0" applyNumberFormat="1" applyFont="1" applyFill="1" applyBorder="1" applyAlignment="1" applyProtection="1">
      <alignment horizontal="center" vertical="center" wrapText="1"/>
      <protection hidden="1"/>
    </xf>
    <xf numFmtId="171" fontId="3" fillId="19" borderId="34" xfId="0" applyNumberFormat="1" applyFont="1" applyFill="1" applyBorder="1" applyAlignment="1" applyProtection="1">
      <alignment horizontal="center" vertical="center" wrapText="1"/>
      <protection hidden="1"/>
    </xf>
    <xf numFmtId="0" fontId="5" fillId="13" borderId="60" xfId="0" applyFont="1" applyFill="1" applyBorder="1" applyAlignment="1" applyProtection="1">
      <alignment horizontal="center" vertical="center" wrapText="1"/>
      <protection hidden="1"/>
    </xf>
    <xf numFmtId="0" fontId="5" fillId="13" borderId="61" xfId="0" applyFont="1" applyFill="1" applyBorder="1" applyAlignment="1" applyProtection="1">
      <alignment horizontal="center" vertical="center" wrapText="1"/>
      <protection hidden="1"/>
    </xf>
    <xf numFmtId="0" fontId="5" fillId="13" borderId="62" xfId="0" applyFont="1" applyFill="1" applyBorder="1" applyAlignment="1" applyProtection="1">
      <alignment horizontal="center" vertical="center" wrapText="1"/>
      <protection hidden="1"/>
    </xf>
    <xf numFmtId="0" fontId="17" fillId="17" borderId="60" xfId="50" applyFont="1" applyFill="1" applyBorder="1" applyAlignment="1" applyProtection="1">
      <alignment horizontal="center" vertical="center" wrapText="1"/>
      <protection hidden="1"/>
    </xf>
    <xf numFmtId="0" fontId="17" fillId="17" borderId="61" xfId="50" applyFont="1" applyFill="1" applyBorder="1" applyAlignment="1" applyProtection="1">
      <alignment horizontal="center" vertical="center" wrapText="1"/>
      <protection hidden="1"/>
    </xf>
    <xf numFmtId="0" fontId="17" fillId="17" borderId="62" xfId="50" applyFont="1" applyFill="1" applyBorder="1" applyAlignment="1" applyProtection="1">
      <alignment horizontal="center" vertical="center" wrapText="1"/>
      <protection hidden="1"/>
    </xf>
    <xf numFmtId="171" fontId="17" fillId="17" borderId="60" xfId="50" applyNumberFormat="1" applyFont="1" applyFill="1" applyBorder="1" applyAlignment="1" applyProtection="1">
      <alignment horizontal="center" vertical="center" wrapText="1"/>
      <protection hidden="1"/>
    </xf>
    <xf numFmtId="171" fontId="17" fillId="17" borderId="62" xfId="50" applyNumberFormat="1" applyFont="1" applyFill="1" applyBorder="1" applyAlignment="1" applyProtection="1">
      <alignment horizontal="center" vertical="center" wrapText="1"/>
      <protection hidden="1"/>
    </xf>
    <xf numFmtId="0" fontId="5" fillId="0" borderId="30" xfId="50" applyFont="1" applyFill="1" applyBorder="1" applyAlignment="1" applyProtection="1">
      <alignment horizontal="center" vertical="center" wrapText="1"/>
      <protection hidden="1"/>
    </xf>
    <xf numFmtId="0" fontId="5" fillId="0" borderId="0" xfId="50" applyFont="1" applyFill="1" applyBorder="1" applyAlignment="1" applyProtection="1">
      <alignment horizontal="center" vertical="center" wrapText="1"/>
      <protection hidden="1"/>
    </xf>
    <xf numFmtId="0" fontId="5" fillId="35" borderId="0" xfId="50" applyFont="1" applyFill="1" applyBorder="1" applyAlignment="1" applyProtection="1">
      <alignment horizontal="center" vertical="center" wrapText="1"/>
      <protection hidden="1"/>
    </xf>
    <xf numFmtId="0" fontId="5" fillId="0" borderId="31" xfId="50" applyFont="1" applyFill="1" applyBorder="1" applyAlignment="1" applyProtection="1">
      <alignment horizontal="center" vertical="center" wrapText="1"/>
      <protection hidden="1"/>
    </xf>
    <xf numFmtId="0" fontId="5" fillId="0" borderId="0" xfId="50" applyFont="1" applyFill="1" applyBorder="1" applyAlignment="1" applyProtection="1">
      <alignment horizontal="center" vertical="center"/>
      <protection hidden="1"/>
    </xf>
    <xf numFmtId="0" fontId="0" fillId="0" borderId="0" xfId="50" applyFont="1" applyFill="1" applyBorder="1" applyAlignment="1" applyProtection="1">
      <alignment horizontal="center" vertical="center" wrapText="1"/>
      <protection hidden="1"/>
    </xf>
    <xf numFmtId="4" fontId="5" fillId="0" borderId="31" xfId="50" applyNumberFormat="1" applyFont="1" applyFill="1" applyBorder="1" applyAlignment="1" applyProtection="1">
      <alignment horizontal="center" vertical="center" wrapText="1"/>
      <protection hidden="1"/>
    </xf>
    <xf numFmtId="0" fontId="2" fillId="0" borderId="30" xfId="50" applyFont="1" applyFill="1" applyBorder="1" applyAlignment="1" applyProtection="1">
      <alignment horizontal="center"/>
      <protection hidden="1"/>
    </xf>
    <xf numFmtId="0" fontId="2" fillId="0" borderId="0" xfId="50" applyFont="1" applyFill="1" applyBorder="1" applyAlignment="1" applyProtection="1">
      <alignment horizontal="center"/>
      <protection hidden="1"/>
    </xf>
    <xf numFmtId="0" fontId="2" fillId="0" borderId="0" xfId="50" applyFont="1" applyFill="1" applyBorder="1" applyAlignment="1" applyProtection="1">
      <alignment horizontal="center" vertical="center"/>
      <protection hidden="1"/>
    </xf>
    <xf numFmtId="0" fontId="2" fillId="0" borderId="20" xfId="50" applyFont="1" applyFill="1" applyBorder="1" applyAlignment="1" applyProtection="1">
      <alignment horizontal="center" vertical="center"/>
      <protection hidden="1"/>
    </xf>
    <xf numFmtId="2" fontId="2" fillId="0" borderId="20" xfId="50" applyNumberFormat="1" applyFont="1" applyFill="1" applyBorder="1" applyAlignment="1" applyProtection="1">
      <alignment horizontal="center"/>
      <protection hidden="1"/>
    </xf>
    <xf numFmtId="2" fontId="2" fillId="35" borderId="20" xfId="50" applyNumberFormat="1" applyFont="1" applyFill="1" applyBorder="1" applyAlignment="1" applyProtection="1">
      <alignment horizontal="center"/>
      <protection hidden="1"/>
    </xf>
    <xf numFmtId="4" fontId="2" fillId="0" borderId="31" xfId="50" applyNumberFormat="1" applyFont="1" applyFill="1" applyBorder="1" applyAlignment="1" applyProtection="1">
      <alignment horizontal="center"/>
      <protection hidden="1"/>
    </xf>
    <xf numFmtId="0" fontId="0" fillId="0" borderId="30" xfId="50" applyFont="1" applyFill="1" applyBorder="1" applyAlignment="1" applyProtection="1">
      <alignment horizontal="center"/>
      <protection hidden="1"/>
    </xf>
    <xf numFmtId="0" fontId="0" fillId="0" borderId="0" xfId="50" applyFont="1" applyFill="1" applyBorder="1" applyAlignment="1" applyProtection="1">
      <alignment horizontal="center"/>
      <protection hidden="1"/>
    </xf>
    <xf numFmtId="0" fontId="0" fillId="0" borderId="0" xfId="50" applyFont="1" applyFill="1" applyBorder="1" applyAlignment="1" applyProtection="1">
      <alignment horizontal="center" vertical="center"/>
      <protection hidden="1"/>
    </xf>
    <xf numFmtId="2" fontId="5" fillId="0" borderId="0" xfId="50" applyNumberFormat="1" applyFont="1" applyFill="1" applyBorder="1" applyAlignment="1" applyProtection="1">
      <alignment horizontal="center"/>
      <protection hidden="1"/>
    </xf>
    <xf numFmtId="2" fontId="5" fillId="35" borderId="0" xfId="50" applyNumberFormat="1" applyFont="1" applyFill="1" applyBorder="1" applyAlignment="1" applyProtection="1">
      <alignment horizontal="center"/>
      <protection hidden="1"/>
    </xf>
    <xf numFmtId="4" fontId="0" fillId="0" borderId="31" xfId="50" applyNumberFormat="1" applyFont="1" applyFill="1" applyBorder="1" applyAlignment="1" applyProtection="1">
      <alignment horizontal="center"/>
      <protection hidden="1"/>
    </xf>
    <xf numFmtId="0" fontId="5" fillId="0" borderId="30" xfId="50" applyFont="1" applyFill="1" applyBorder="1" applyAlignment="1" applyProtection="1">
      <alignment/>
      <protection hidden="1"/>
    </xf>
    <xf numFmtId="0" fontId="5" fillId="0" borderId="0" xfId="50" applyFont="1" applyFill="1" applyBorder="1" applyAlignment="1" applyProtection="1">
      <alignment/>
      <protection hidden="1"/>
    </xf>
    <xf numFmtId="0" fontId="5" fillId="0" borderId="0" xfId="50" applyFont="1" applyFill="1" applyBorder="1" applyAlignment="1" applyProtection="1">
      <alignment horizontal="center"/>
      <protection hidden="1"/>
    </xf>
    <xf numFmtId="0" fontId="5" fillId="35" borderId="0" xfId="50" applyFont="1" applyFill="1" applyBorder="1" applyAlignment="1" applyProtection="1">
      <alignment horizontal="center"/>
      <protection hidden="1"/>
    </xf>
    <xf numFmtId="0" fontId="0" fillId="0" borderId="32" xfId="50" applyFont="1" applyFill="1" applyBorder="1" applyAlignment="1" applyProtection="1">
      <alignment horizontal="center"/>
      <protection hidden="1"/>
    </xf>
    <xf numFmtId="0" fontId="0" fillId="0" borderId="33" xfId="50" applyFont="1" applyFill="1" applyBorder="1" applyAlignment="1" applyProtection="1">
      <alignment horizontal="center"/>
      <protection hidden="1"/>
    </xf>
    <xf numFmtId="0" fontId="0" fillId="35" borderId="33" xfId="50" applyFont="1" applyFill="1" applyBorder="1" applyAlignment="1" applyProtection="1">
      <alignment horizontal="center"/>
      <protection hidden="1"/>
    </xf>
    <xf numFmtId="0" fontId="0" fillId="0" borderId="34" xfId="50" applyFont="1" applyFill="1" applyBorder="1" applyAlignment="1" applyProtection="1">
      <alignment horizontal="center"/>
      <protection hidden="1"/>
    </xf>
    <xf numFmtId="2" fontId="2" fillId="0" borderId="0" xfId="50" applyNumberFormat="1" applyFont="1" applyFill="1" applyBorder="1" applyAlignment="1" applyProtection="1">
      <alignment horizontal="center"/>
      <protection hidden="1"/>
    </xf>
    <xf numFmtId="2" fontId="2" fillId="35" borderId="0" xfId="50" applyNumberFormat="1" applyFont="1" applyFill="1" applyBorder="1" applyAlignment="1" applyProtection="1">
      <alignment horizontal="center"/>
      <protection hidden="1"/>
    </xf>
    <xf numFmtId="0" fontId="0" fillId="0" borderId="0" xfId="50" applyProtection="1">
      <alignment/>
      <protection hidden="1"/>
    </xf>
    <xf numFmtId="0" fontId="2" fillId="0" borderId="0" xfId="0" applyFont="1" applyBorder="1" applyAlignment="1" applyProtection="1">
      <alignment horizontal="center"/>
      <protection hidden="1"/>
    </xf>
    <xf numFmtId="2" fontId="2" fillId="0" borderId="0" xfId="0" applyNumberFormat="1" applyFont="1" applyBorder="1" applyAlignment="1" applyProtection="1">
      <alignment horizontal="center"/>
      <protection hidden="1"/>
    </xf>
    <xf numFmtId="2" fontId="2" fillId="35" borderId="0" xfId="0" applyNumberFormat="1" applyFont="1" applyFill="1" applyBorder="1" applyAlignment="1" applyProtection="1">
      <alignment horizontal="center"/>
      <protection hidden="1"/>
    </xf>
    <xf numFmtId="0" fontId="0" fillId="43" borderId="100" xfId="50" applyFill="1" applyBorder="1" applyAlignment="1" applyProtection="1">
      <alignment/>
      <protection hidden="1"/>
    </xf>
    <xf numFmtId="0" fontId="0" fillId="43" borderId="101" xfId="50" applyFill="1" applyBorder="1" applyAlignment="1" applyProtection="1">
      <alignment/>
      <protection hidden="1"/>
    </xf>
    <xf numFmtId="0" fontId="0" fillId="43" borderId="101" xfId="50" applyFill="1" applyBorder="1" applyAlignment="1" applyProtection="1">
      <alignment wrapText="1"/>
      <protection hidden="1"/>
    </xf>
    <xf numFmtId="0" fontId="0" fillId="43" borderId="102" xfId="50" applyFill="1" applyBorder="1" applyAlignment="1" applyProtection="1">
      <alignment/>
      <protection hidden="1"/>
    </xf>
    <xf numFmtId="0" fontId="0" fillId="43" borderId="30" xfId="50" applyFill="1" applyBorder="1" applyAlignment="1" applyProtection="1">
      <alignment/>
      <protection hidden="1"/>
    </xf>
    <xf numFmtId="0" fontId="0" fillId="43" borderId="0" xfId="50" applyFill="1" applyBorder="1" applyAlignment="1" applyProtection="1">
      <alignment/>
      <protection hidden="1"/>
    </xf>
    <xf numFmtId="0" fontId="0" fillId="43" borderId="0" xfId="50" applyFill="1" applyBorder="1" applyAlignment="1" applyProtection="1">
      <alignment wrapText="1"/>
      <protection hidden="1"/>
    </xf>
    <xf numFmtId="0" fontId="0" fillId="43" borderId="31" xfId="50" applyFill="1" applyBorder="1" applyAlignment="1" applyProtection="1">
      <alignment/>
      <protection hidden="1"/>
    </xf>
    <xf numFmtId="0" fontId="3" fillId="43" borderId="103" xfId="50" applyFont="1" applyFill="1" applyBorder="1" applyAlignment="1" applyProtection="1">
      <alignment horizontal="center"/>
      <protection hidden="1"/>
    </xf>
    <xf numFmtId="0" fontId="3" fillId="43" borderId="84" xfId="50" applyFont="1" applyFill="1" applyBorder="1" applyAlignment="1" applyProtection="1">
      <alignment horizontal="center"/>
      <protection hidden="1"/>
    </xf>
    <xf numFmtId="0" fontId="3" fillId="43" borderId="104" xfId="50" applyFont="1" applyFill="1" applyBorder="1" applyAlignment="1" applyProtection="1">
      <alignment horizontal="center"/>
      <protection hidden="1"/>
    </xf>
    <xf numFmtId="0" fontId="4" fillId="43" borderId="105" xfId="50" applyFont="1" applyFill="1" applyBorder="1" applyAlignment="1" applyProtection="1">
      <alignment horizontal="center" vertical="center"/>
      <protection hidden="1"/>
    </xf>
    <xf numFmtId="0" fontId="4" fillId="43" borderId="106" xfId="50" applyFont="1" applyFill="1" applyBorder="1" applyAlignment="1" applyProtection="1">
      <alignment horizontal="center" vertical="center"/>
      <protection hidden="1"/>
    </xf>
    <xf numFmtId="0" fontId="4" fillId="43" borderId="107" xfId="50" applyFont="1" applyFill="1" applyBorder="1" applyAlignment="1" applyProtection="1">
      <alignment horizontal="center" vertical="center"/>
      <protection hidden="1"/>
    </xf>
    <xf numFmtId="0" fontId="5" fillId="43" borderId="108" xfId="50" applyFont="1" applyFill="1" applyBorder="1" applyAlignment="1" applyProtection="1">
      <alignment horizontal="left" vertical="center"/>
      <protection hidden="1"/>
    </xf>
    <xf numFmtId="0" fontId="5" fillId="43" borderId="109" xfId="50" applyFont="1" applyFill="1" applyBorder="1" applyAlignment="1" applyProtection="1">
      <alignment horizontal="left" vertical="center"/>
      <protection hidden="1"/>
    </xf>
    <xf numFmtId="0" fontId="5" fillId="43" borderId="21" xfId="50" applyFont="1" applyFill="1" applyBorder="1" applyAlignment="1" applyProtection="1">
      <alignment vertical="center"/>
      <protection hidden="1"/>
    </xf>
    <xf numFmtId="0" fontId="5" fillId="43" borderId="110" xfId="50" applyFont="1" applyFill="1" applyBorder="1" applyAlignment="1" applyProtection="1">
      <alignment vertical="center"/>
      <protection hidden="1"/>
    </xf>
    <xf numFmtId="171" fontId="5" fillId="43" borderId="22" xfId="50" applyNumberFormat="1" applyFont="1" applyFill="1" applyBorder="1" applyAlignment="1" applyProtection="1">
      <alignment vertical="center"/>
      <protection hidden="1"/>
    </xf>
    <xf numFmtId="4" fontId="5" fillId="0" borderId="101" xfId="50" applyNumberFormat="1" applyFont="1" applyFill="1" applyBorder="1" applyAlignment="1" applyProtection="1">
      <alignment horizontal="center" vertical="center" wrapText="1"/>
      <protection hidden="1"/>
    </xf>
    <xf numFmtId="4" fontId="5" fillId="0" borderId="102" xfId="50" applyNumberFormat="1" applyFont="1" applyFill="1" applyBorder="1" applyAlignment="1" applyProtection="1">
      <alignment horizontal="center" vertical="center" wrapText="1"/>
      <protection hidden="1"/>
    </xf>
    <xf numFmtId="4" fontId="5" fillId="0" borderId="60" xfId="50" applyNumberFormat="1" applyFont="1" applyFill="1" applyBorder="1" applyAlignment="1" applyProtection="1">
      <alignment horizontal="center" vertical="center" wrapText="1"/>
      <protection hidden="1"/>
    </xf>
    <xf numFmtId="4" fontId="5" fillId="0" borderId="61" xfId="50" applyNumberFormat="1" applyFont="1" applyFill="1" applyBorder="1" applyAlignment="1" applyProtection="1">
      <alignment horizontal="center" vertical="center" wrapText="1"/>
      <protection hidden="1"/>
    </xf>
    <xf numFmtId="4" fontId="5" fillId="0" borderId="62" xfId="50" applyNumberFormat="1" applyFont="1" applyFill="1" applyBorder="1" applyAlignment="1" applyProtection="1">
      <alignment horizontal="center" vertical="center" wrapText="1"/>
      <protection hidden="1"/>
    </xf>
    <xf numFmtId="0" fontId="5" fillId="43" borderId="15" xfId="50" applyFont="1" applyFill="1" applyBorder="1" applyAlignment="1" applyProtection="1">
      <alignment horizontal="left" vertical="center"/>
      <protection hidden="1"/>
    </xf>
    <xf numFmtId="0" fontId="5" fillId="43" borderId="31" xfId="50" applyFont="1" applyFill="1" applyBorder="1" applyAlignment="1" applyProtection="1">
      <alignment horizontal="left" vertical="center"/>
      <protection hidden="1"/>
    </xf>
    <xf numFmtId="0" fontId="5" fillId="43" borderId="32" xfId="50" applyFont="1" applyFill="1" applyBorder="1" applyAlignment="1" applyProtection="1">
      <alignment horizontal="center" vertical="center" wrapText="1"/>
      <protection hidden="1"/>
    </xf>
    <xf numFmtId="0" fontId="5" fillId="43" borderId="33" xfId="50" applyFont="1" applyFill="1" applyBorder="1" applyAlignment="1" applyProtection="1">
      <alignment horizontal="center" vertical="center" wrapText="1"/>
      <protection hidden="1"/>
    </xf>
    <xf numFmtId="0" fontId="5" fillId="43" borderId="98" xfId="50" applyFont="1" applyFill="1" applyBorder="1" applyAlignment="1" applyProtection="1">
      <alignment horizontal="center" vertical="center" wrapText="1"/>
      <protection hidden="1"/>
    </xf>
    <xf numFmtId="0" fontId="5" fillId="43" borderId="77" xfId="50" applyFont="1" applyFill="1" applyBorder="1" applyAlignment="1" applyProtection="1">
      <alignment horizontal="center" vertical="center" wrapText="1"/>
      <protection hidden="1"/>
    </xf>
    <xf numFmtId="0" fontId="5" fillId="43" borderId="111" xfId="50" applyFont="1" applyFill="1" applyBorder="1" applyAlignment="1" applyProtection="1">
      <alignment horizontal="center" vertical="center" wrapText="1"/>
      <protection hidden="1"/>
    </xf>
    <xf numFmtId="0" fontId="5" fillId="43" borderId="105" xfId="50" applyFont="1" applyFill="1" applyBorder="1" applyAlignment="1" applyProtection="1">
      <alignment horizontal="center" vertical="center"/>
      <protection hidden="1"/>
    </xf>
    <xf numFmtId="0" fontId="5" fillId="43" borderId="106" xfId="50" applyFont="1" applyFill="1" applyBorder="1" applyAlignment="1" applyProtection="1">
      <alignment horizontal="center" vertical="center"/>
      <protection hidden="1"/>
    </xf>
    <xf numFmtId="0" fontId="5" fillId="43" borderId="106" xfId="50" applyFont="1" applyFill="1" applyBorder="1" applyAlignment="1" applyProtection="1">
      <alignment horizontal="center" vertical="center" wrapText="1"/>
      <protection hidden="1"/>
    </xf>
    <xf numFmtId="0" fontId="5" fillId="43" borderId="107" xfId="50" applyFont="1" applyFill="1" applyBorder="1" applyAlignment="1" applyProtection="1">
      <alignment horizontal="center" vertical="center"/>
      <protection hidden="1"/>
    </xf>
    <xf numFmtId="0" fontId="5" fillId="43" borderId="79" xfId="50" applyFont="1" applyFill="1" applyBorder="1" applyAlignment="1" applyProtection="1">
      <alignment horizontal="center" vertical="center" wrapText="1"/>
      <protection hidden="1"/>
    </xf>
    <xf numFmtId="0" fontId="5" fillId="43" borderId="84" xfId="50" applyFont="1" applyFill="1" applyBorder="1" applyAlignment="1" applyProtection="1">
      <alignment horizontal="center" vertical="center" wrapText="1"/>
      <protection hidden="1"/>
    </xf>
    <xf numFmtId="0" fontId="5" fillId="43" borderId="104" xfId="50" applyFont="1" applyFill="1" applyBorder="1" applyAlignment="1" applyProtection="1">
      <alignment horizontal="center" vertical="center" wrapText="1"/>
      <protection hidden="1"/>
    </xf>
    <xf numFmtId="0" fontId="11" fillId="44" borderId="24" xfId="50" applyFont="1" applyFill="1" applyBorder="1" applyAlignment="1" applyProtection="1">
      <alignment horizontal="center" vertical="center" wrapText="1"/>
      <protection hidden="1"/>
    </xf>
    <xf numFmtId="0" fontId="11" fillId="44" borderId="25" xfId="50" applyNumberFormat="1" applyFont="1" applyFill="1" applyBorder="1" applyAlignment="1" applyProtection="1">
      <alignment horizontal="left" vertical="center" wrapText="1"/>
      <protection hidden="1"/>
    </xf>
    <xf numFmtId="49" fontId="12" fillId="45" borderId="25" xfId="50" applyNumberFormat="1" applyFont="1" applyFill="1" applyBorder="1" applyAlignment="1" applyProtection="1">
      <alignment horizontal="center" vertical="top" wrapText="1"/>
      <protection hidden="1"/>
    </xf>
    <xf numFmtId="10" fontId="11" fillId="45" borderId="25" xfId="50" applyNumberFormat="1" applyFont="1" applyFill="1" applyBorder="1" applyAlignment="1" applyProtection="1">
      <alignment vertical="top" wrapText="1"/>
      <protection hidden="1"/>
    </xf>
    <xf numFmtId="10" fontId="11" fillId="45" borderId="26" xfId="50" applyNumberFormat="1" applyFont="1" applyFill="1" applyBorder="1" applyAlignment="1" applyProtection="1">
      <alignment vertical="top" wrapText="1"/>
      <protection hidden="1"/>
    </xf>
    <xf numFmtId="0" fontId="5" fillId="43" borderId="40" xfId="50" applyFont="1" applyFill="1" applyBorder="1" applyAlignment="1" applyProtection="1">
      <alignment horizontal="center" vertical="center"/>
      <protection hidden="1"/>
    </xf>
    <xf numFmtId="0" fontId="5" fillId="43" borderId="36" xfId="50" applyFont="1" applyFill="1" applyBorder="1" applyAlignment="1" applyProtection="1">
      <alignment horizontal="center" vertical="center"/>
      <protection hidden="1"/>
    </xf>
    <xf numFmtId="0" fontId="5" fillId="43" borderId="43" xfId="50" applyFont="1" applyFill="1" applyBorder="1" applyAlignment="1" applyProtection="1">
      <alignment horizontal="center" vertical="center"/>
      <protection hidden="1"/>
    </xf>
    <xf numFmtId="0" fontId="11" fillId="44" borderId="27" xfId="50" applyFont="1" applyFill="1" applyBorder="1" applyAlignment="1" applyProtection="1">
      <alignment horizontal="center" vertical="center" wrapText="1"/>
      <protection hidden="1"/>
    </xf>
    <xf numFmtId="0" fontId="11" fillId="44" borderId="28" xfId="50" applyNumberFormat="1" applyFont="1" applyFill="1" applyBorder="1" applyAlignment="1" applyProtection="1">
      <alignment horizontal="left" vertical="center" wrapText="1"/>
      <protection hidden="1"/>
    </xf>
    <xf numFmtId="49" fontId="12" fillId="45" borderId="28" xfId="50" applyNumberFormat="1" applyFont="1" applyFill="1" applyBorder="1" applyAlignment="1" applyProtection="1">
      <alignment horizontal="center" vertical="top" wrapText="1"/>
      <protection hidden="1"/>
    </xf>
    <xf numFmtId="171" fontId="11" fillId="45" borderId="28" xfId="50" applyNumberFormat="1" applyFont="1" applyFill="1" applyBorder="1" applyAlignment="1" applyProtection="1">
      <alignment vertical="top" wrapText="1"/>
      <protection hidden="1"/>
    </xf>
    <xf numFmtId="171" fontId="11" fillId="45" borderId="29" xfId="50" applyNumberFormat="1" applyFont="1" applyFill="1" applyBorder="1" applyAlignment="1" applyProtection="1">
      <alignment vertical="top" wrapText="1"/>
      <protection hidden="1"/>
    </xf>
    <xf numFmtId="173" fontId="0" fillId="43" borderId="40" xfId="46" applyFill="1" applyBorder="1" applyAlignment="1" applyProtection="1">
      <alignment horizontal="center" vertical="center"/>
      <protection hidden="1"/>
    </xf>
    <xf numFmtId="173" fontId="0" fillId="43" borderId="36" xfId="46" applyFill="1" applyBorder="1" applyAlignment="1" applyProtection="1">
      <alignment horizontal="center" vertical="center"/>
      <protection hidden="1"/>
    </xf>
    <xf numFmtId="173" fontId="0" fillId="43" borderId="43" xfId="46" applyFill="1" applyBorder="1" applyAlignment="1" applyProtection="1">
      <alignment horizontal="center" vertical="center"/>
      <protection hidden="1"/>
    </xf>
    <xf numFmtId="171" fontId="2" fillId="0" borderId="0" xfId="0" applyNumberFormat="1" applyFont="1" applyBorder="1" applyAlignment="1" applyProtection="1">
      <alignment horizontal="left"/>
      <protection hidden="1"/>
    </xf>
    <xf numFmtId="0" fontId="11" fillId="35" borderId="24" xfId="50" applyFont="1" applyFill="1" applyBorder="1" applyAlignment="1" applyProtection="1">
      <alignment horizontal="center" vertical="center" wrapText="1"/>
      <protection hidden="1"/>
    </xf>
    <xf numFmtId="0" fontId="11" fillId="35" borderId="25" xfId="50" applyNumberFormat="1" applyFont="1" applyFill="1" applyBorder="1" applyAlignment="1" applyProtection="1">
      <alignment horizontal="left" vertical="center" wrapText="1"/>
      <protection hidden="1"/>
    </xf>
    <xf numFmtId="49" fontId="12" fillId="46" borderId="25" xfId="50" applyNumberFormat="1" applyFont="1" applyFill="1" applyBorder="1" applyAlignment="1" applyProtection="1">
      <alignment horizontal="center" vertical="top" wrapText="1"/>
      <protection hidden="1"/>
    </xf>
    <xf numFmtId="10" fontId="11" fillId="46" borderId="25" xfId="50" applyNumberFormat="1" applyFont="1" applyFill="1" applyBorder="1" applyAlignment="1" applyProtection="1">
      <alignment vertical="top" wrapText="1"/>
      <protection hidden="1"/>
    </xf>
    <xf numFmtId="4" fontId="2" fillId="0" borderId="0" xfId="0" applyNumberFormat="1" applyFont="1" applyBorder="1" applyAlignment="1" applyProtection="1">
      <alignment horizontal="left"/>
      <protection hidden="1"/>
    </xf>
    <xf numFmtId="10" fontId="11" fillId="46" borderId="26" xfId="50" applyNumberFormat="1" applyFont="1" applyFill="1" applyBorder="1" applyAlignment="1" applyProtection="1">
      <alignment vertical="top" wrapText="1"/>
      <protection hidden="1"/>
    </xf>
    <xf numFmtId="9" fontId="0" fillId="43" borderId="40" xfId="53" applyFill="1" applyBorder="1" applyAlignment="1" applyProtection="1">
      <alignment horizontal="center" vertical="center"/>
      <protection hidden="1"/>
    </xf>
    <xf numFmtId="9" fontId="0" fillId="43" borderId="36" xfId="53" applyFill="1" applyBorder="1" applyAlignment="1" applyProtection="1">
      <alignment horizontal="center" vertical="center"/>
      <protection hidden="1"/>
    </xf>
    <xf numFmtId="9" fontId="0" fillId="43" borderId="43" xfId="53" applyFill="1" applyBorder="1" applyAlignment="1" applyProtection="1">
      <alignment horizontal="center" vertical="center"/>
      <protection hidden="1"/>
    </xf>
    <xf numFmtId="0" fontId="11" fillId="35" borderId="27" xfId="50" applyFont="1" applyFill="1" applyBorder="1" applyAlignment="1" applyProtection="1">
      <alignment horizontal="center" vertical="center" wrapText="1"/>
      <protection hidden="1"/>
    </xf>
    <xf numFmtId="0" fontId="11" fillId="35" borderId="28" xfId="50" applyNumberFormat="1" applyFont="1" applyFill="1" applyBorder="1" applyAlignment="1" applyProtection="1">
      <alignment horizontal="left" vertical="center" wrapText="1"/>
      <protection hidden="1"/>
    </xf>
    <xf numFmtId="49" fontId="12" fillId="46" borderId="28" xfId="50" applyNumberFormat="1" applyFont="1" applyFill="1" applyBorder="1" applyAlignment="1" applyProtection="1">
      <alignment horizontal="center" vertical="top" wrapText="1"/>
      <protection hidden="1"/>
    </xf>
    <xf numFmtId="171" fontId="11" fillId="46" borderId="28" xfId="50" applyNumberFormat="1" applyFont="1" applyFill="1" applyBorder="1" applyAlignment="1" applyProtection="1">
      <alignment vertical="top" wrapText="1"/>
      <protection hidden="1"/>
    </xf>
    <xf numFmtId="171" fontId="11" fillId="46" borderId="29" xfId="50" applyNumberFormat="1" applyFont="1" applyFill="1" applyBorder="1" applyAlignment="1" applyProtection="1">
      <alignment vertical="top" wrapText="1"/>
      <protection hidden="1"/>
    </xf>
    <xf numFmtId="1" fontId="11" fillId="44" borderId="25" xfId="50" applyNumberFormat="1" applyFont="1" applyFill="1" applyBorder="1" applyAlignment="1" applyProtection="1">
      <alignment horizontal="left" vertical="center" wrapText="1"/>
      <protection hidden="1"/>
    </xf>
    <xf numFmtId="1" fontId="11" fillId="44" borderId="28" xfId="50" applyNumberFormat="1" applyFont="1" applyFill="1" applyBorder="1" applyAlignment="1" applyProtection="1">
      <alignment horizontal="left" vertical="center" wrapText="1"/>
      <protection hidden="1"/>
    </xf>
    <xf numFmtId="1" fontId="11" fillId="35" borderId="25" xfId="50" applyNumberFormat="1" applyFont="1" applyFill="1" applyBorder="1" applyAlignment="1" applyProtection="1">
      <alignment horizontal="left" vertical="center" wrapText="1"/>
      <protection hidden="1"/>
    </xf>
    <xf numFmtId="1" fontId="11" fillId="35" borderId="28" xfId="50" applyNumberFormat="1" applyFont="1" applyFill="1" applyBorder="1" applyAlignment="1" applyProtection="1">
      <alignment horizontal="left" vertical="center" wrapText="1"/>
      <protection hidden="1"/>
    </xf>
    <xf numFmtId="173" fontId="0" fillId="0" borderId="40" xfId="46" applyFill="1" applyBorder="1" applyAlignment="1" applyProtection="1">
      <alignment horizontal="center" vertical="center"/>
      <protection hidden="1"/>
    </xf>
    <xf numFmtId="173" fontId="0" fillId="0" borderId="36" xfId="46" applyFill="1" applyBorder="1" applyAlignment="1" applyProtection="1">
      <alignment horizontal="center" vertical="center"/>
      <protection hidden="1"/>
    </xf>
    <xf numFmtId="173" fontId="0" fillId="0" borderId="43" xfId="46" applyFill="1" applyBorder="1" applyAlignment="1" applyProtection="1">
      <alignment horizontal="center" vertical="center"/>
      <protection hidden="1"/>
    </xf>
    <xf numFmtId="0" fontId="0" fillId="46" borderId="25" xfId="50" applyNumberFormat="1" applyFill="1" applyBorder="1" applyAlignment="1" applyProtection="1">
      <alignment vertical="center" wrapText="1"/>
      <protection hidden="1"/>
    </xf>
    <xf numFmtId="0" fontId="0" fillId="46" borderId="28" xfId="50" applyNumberFormat="1" applyFill="1" applyBorder="1" applyAlignment="1" applyProtection="1">
      <alignment vertical="center" wrapText="1"/>
      <protection hidden="1"/>
    </xf>
    <xf numFmtId="0" fontId="0" fillId="45" borderId="25" xfId="50" applyNumberFormat="1" applyFill="1" applyBorder="1" applyAlignment="1" applyProtection="1">
      <alignment vertical="center" wrapText="1"/>
      <protection hidden="1"/>
    </xf>
    <xf numFmtId="0" fontId="0" fillId="45" borderId="28" xfId="50" applyNumberFormat="1" applyFill="1" applyBorder="1" applyAlignment="1" applyProtection="1">
      <alignment vertical="center" wrapText="1"/>
      <protection hidden="1"/>
    </xf>
    <xf numFmtId="0" fontId="5" fillId="43" borderId="112" xfId="50" applyFont="1" applyFill="1" applyBorder="1" applyAlignment="1" applyProtection="1">
      <alignment horizontal="center" vertical="center" wrapText="1"/>
      <protection hidden="1"/>
    </xf>
    <xf numFmtId="0" fontId="5" fillId="43" borderId="39" xfId="50" applyFont="1" applyFill="1" applyBorder="1" applyAlignment="1" applyProtection="1">
      <alignment horizontal="center" vertical="center" wrapText="1"/>
      <protection hidden="1"/>
    </xf>
    <xf numFmtId="49" fontId="13" fillId="47" borderId="39" xfId="50" applyNumberFormat="1" applyFont="1" applyFill="1" applyBorder="1" applyAlignment="1" applyProtection="1">
      <alignment horizontal="center" vertical="top" wrapText="1"/>
      <protection hidden="1"/>
    </xf>
    <xf numFmtId="10" fontId="11" fillId="47" borderId="39" xfId="50" applyNumberFormat="1" applyFont="1" applyFill="1" applyBorder="1" applyAlignment="1" applyProtection="1">
      <alignment vertical="top" wrapText="1"/>
      <protection hidden="1"/>
    </xf>
    <xf numFmtId="0" fontId="5" fillId="43" borderId="35" xfId="50" applyFont="1" applyFill="1" applyBorder="1" applyAlignment="1" applyProtection="1">
      <alignment horizontal="center" vertical="center" wrapText="1"/>
      <protection hidden="1"/>
    </xf>
    <xf numFmtId="0" fontId="5" fillId="43" borderId="36" xfId="50" applyFont="1" applyFill="1" applyBorder="1" applyAlignment="1" applyProtection="1">
      <alignment horizontal="center" vertical="center" wrapText="1"/>
      <protection hidden="1"/>
    </xf>
    <xf numFmtId="49" fontId="13" fillId="47" borderId="36" xfId="50" applyNumberFormat="1" applyFont="1" applyFill="1" applyBorder="1" applyAlignment="1" applyProtection="1">
      <alignment horizontal="center" vertical="top" wrapText="1"/>
      <protection hidden="1"/>
    </xf>
    <xf numFmtId="171" fontId="11" fillId="47" borderId="36" xfId="50" applyNumberFormat="1" applyFont="1" applyFill="1" applyBorder="1" applyAlignment="1" applyProtection="1">
      <alignment vertical="top" wrapText="1"/>
      <protection hidden="1"/>
    </xf>
    <xf numFmtId="4" fontId="5" fillId="43" borderId="36" xfId="50" applyNumberFormat="1" applyFont="1" applyFill="1" applyBorder="1" applyAlignment="1" applyProtection="1">
      <alignment horizontal="center" vertical="center"/>
      <protection hidden="1"/>
    </xf>
    <xf numFmtId="4" fontId="5" fillId="43" borderId="43" xfId="50" applyNumberFormat="1" applyFont="1" applyFill="1" applyBorder="1" applyAlignment="1" applyProtection="1">
      <alignment horizontal="center" vertical="center"/>
      <protection hidden="1"/>
    </xf>
    <xf numFmtId="169" fontId="5" fillId="43" borderId="36" xfId="50" applyNumberFormat="1" applyFont="1" applyFill="1" applyBorder="1" applyAlignment="1" applyProtection="1">
      <alignment horizontal="center" vertical="center"/>
      <protection hidden="1"/>
    </xf>
    <xf numFmtId="0" fontId="5" fillId="43" borderId="30" xfId="50" applyFont="1" applyFill="1" applyBorder="1" applyAlignment="1" applyProtection="1">
      <alignment wrapText="1"/>
      <protection hidden="1"/>
    </xf>
    <xf numFmtId="0" fontId="5" fillId="43" borderId="0" xfId="50" applyFont="1" applyFill="1" applyBorder="1" applyAlignment="1" applyProtection="1">
      <alignment wrapText="1"/>
      <protection hidden="1"/>
    </xf>
    <xf numFmtId="0" fontId="5" fillId="43" borderId="15" xfId="50" applyFont="1" applyFill="1" applyBorder="1" applyAlignment="1" applyProtection="1">
      <alignment wrapText="1"/>
      <protection hidden="1"/>
    </xf>
    <xf numFmtId="0" fontId="0" fillId="43" borderId="0" xfId="50" applyFill="1" applyBorder="1" applyProtection="1">
      <alignment/>
      <protection hidden="1"/>
    </xf>
    <xf numFmtId="0" fontId="0" fillId="43" borderId="31" xfId="50" applyFill="1" applyBorder="1" applyProtection="1">
      <alignment/>
      <protection hidden="1"/>
    </xf>
    <xf numFmtId="0" fontId="0" fillId="0" borderId="0" xfId="50" applyBorder="1" applyAlignment="1" applyProtection="1">
      <alignment vertical="center"/>
      <protection hidden="1"/>
    </xf>
    <xf numFmtId="0" fontId="0" fillId="0" borderId="15" xfId="50" applyBorder="1" applyAlignment="1" applyProtection="1">
      <alignment vertical="center"/>
      <protection hidden="1"/>
    </xf>
    <xf numFmtId="0" fontId="5" fillId="43" borderId="0" xfId="50" applyFont="1" applyFill="1" applyBorder="1" applyProtection="1">
      <alignment/>
      <protection hidden="1"/>
    </xf>
    <xf numFmtId="0" fontId="11" fillId="43" borderId="31" xfId="50" applyFont="1" applyFill="1" applyBorder="1" applyProtection="1">
      <alignment/>
      <protection hidden="1"/>
    </xf>
    <xf numFmtId="0" fontId="0" fillId="43" borderId="30" xfId="50" applyFont="1" applyFill="1" applyBorder="1" applyProtection="1">
      <alignment/>
      <protection hidden="1"/>
    </xf>
    <xf numFmtId="0" fontId="0" fillId="43" borderId="0" xfId="50" applyFont="1" applyFill="1" applyBorder="1" applyAlignment="1" applyProtection="1">
      <alignment horizontal="center"/>
      <protection hidden="1"/>
    </xf>
    <xf numFmtId="0" fontId="0" fillId="43" borderId="15" xfId="50" applyFill="1" applyBorder="1" applyProtection="1">
      <alignment/>
      <protection hidden="1"/>
    </xf>
    <xf numFmtId="0" fontId="14" fillId="43" borderId="30" xfId="50" applyFont="1" applyFill="1" applyBorder="1" applyProtection="1">
      <alignment/>
      <protection hidden="1"/>
    </xf>
    <xf numFmtId="0" fontId="11" fillId="0" borderId="0" xfId="50" applyFont="1" applyBorder="1" applyAlignment="1" applyProtection="1">
      <alignment horizontal="center" vertical="center"/>
      <protection hidden="1"/>
    </xf>
    <xf numFmtId="0" fontId="11" fillId="43" borderId="15" xfId="50" applyFont="1" applyFill="1" applyBorder="1" applyAlignment="1" applyProtection="1">
      <alignment wrapText="1"/>
      <protection hidden="1"/>
    </xf>
    <xf numFmtId="0" fontId="11" fillId="43" borderId="113" xfId="50" applyFont="1" applyFill="1" applyBorder="1" applyProtection="1">
      <alignment/>
      <protection hidden="1"/>
    </xf>
    <xf numFmtId="0" fontId="11" fillId="0" borderId="22" xfId="50" applyFont="1" applyBorder="1" applyAlignment="1" applyProtection="1">
      <alignment horizontal="center" vertical="center"/>
      <protection hidden="1"/>
    </xf>
    <xf numFmtId="0" fontId="11" fillId="43" borderId="23" xfId="50" applyFont="1" applyFill="1" applyBorder="1" applyAlignment="1" applyProtection="1">
      <alignment wrapText="1"/>
      <protection hidden="1"/>
    </xf>
    <xf numFmtId="0" fontId="0" fillId="43" borderId="22" xfId="50" applyFill="1" applyBorder="1" applyProtection="1">
      <alignment/>
      <protection hidden="1"/>
    </xf>
    <xf numFmtId="0" fontId="0" fillId="43" borderId="114" xfId="50" applyFill="1" applyBorder="1" applyProtection="1">
      <alignment/>
      <protection hidden="1"/>
    </xf>
    <xf numFmtId="0" fontId="0" fillId="43" borderId="115" xfId="50" applyFill="1" applyBorder="1" applyAlignment="1" applyProtection="1">
      <alignment horizontal="center"/>
      <protection hidden="1"/>
    </xf>
    <xf numFmtId="0" fontId="0" fillId="43" borderId="116" xfId="50" applyFill="1" applyBorder="1" applyAlignment="1" applyProtection="1">
      <alignment horizontal="center"/>
      <protection hidden="1"/>
    </xf>
    <xf numFmtId="0" fontId="0" fillId="43" borderId="117" xfId="50" applyFill="1" applyBorder="1" applyAlignment="1" applyProtection="1">
      <alignment horizontal="center"/>
      <protection hidden="1"/>
    </xf>
    <xf numFmtId="0" fontId="0" fillId="43" borderId="118" xfId="50" applyFill="1" applyBorder="1" applyProtection="1">
      <alignment/>
      <protection hidden="1"/>
    </xf>
    <xf numFmtId="0" fontId="0" fillId="43" borderId="118" xfId="50" applyFill="1" applyBorder="1" applyAlignment="1" applyProtection="1">
      <alignment wrapText="1"/>
      <protection hidden="1"/>
    </xf>
    <xf numFmtId="0" fontId="3" fillId="0" borderId="0" xfId="0" applyFont="1" applyBorder="1" applyAlignment="1" applyProtection="1">
      <alignment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Moeda 2" xfId="48"/>
    <cellStyle name="Neutra" xfId="49"/>
    <cellStyle name="Normal 2" xfId="50"/>
    <cellStyle name="Normal 3" xfId="51"/>
    <cellStyle name="Nota" xfId="52"/>
    <cellStyle name="Percent" xfId="53"/>
    <cellStyle name="Porcentagem 2"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 name="Vírgul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0</xdr:row>
      <xdr:rowOff>114300</xdr:rowOff>
    </xdr:from>
    <xdr:to>
      <xdr:col>14</xdr:col>
      <xdr:colOff>238125</xdr:colOff>
      <xdr:row>0</xdr:row>
      <xdr:rowOff>752475</xdr:rowOff>
    </xdr:to>
    <xdr:sp fLocksText="0">
      <xdr:nvSpPr>
        <xdr:cNvPr id="1" name="Text Box 6"/>
        <xdr:cNvSpPr txBox="1">
          <a:spLocks noChangeArrowheads="1"/>
        </xdr:cNvSpPr>
      </xdr:nvSpPr>
      <xdr:spPr>
        <a:xfrm>
          <a:off x="962025" y="114300"/>
          <a:ext cx="12372975" cy="638175"/>
        </a:xfrm>
        <a:prstGeom prst="rect">
          <a:avLst/>
        </a:prstGeom>
        <a:noFill/>
        <a:ln w="9525" cmpd="sng">
          <a:noFill/>
        </a:ln>
      </xdr:spPr>
      <xdr:txBody>
        <a:bodyPr vertOverflow="clip" wrap="square" lIns="27360" tIns="22680" rIns="0" bIns="0"/>
        <a:p>
          <a:pPr algn="l">
            <a:defRPr/>
          </a:pPr>
          <a:r>
            <a:rPr lang="en-US" cap="none" sz="1100" b="1" i="0" u="none" baseline="0">
              <a:solidFill>
                <a:srgbClr val="000000"/>
              </a:solidFill>
              <a:latin typeface="Calibri"/>
              <a:ea typeface="Calibri"/>
              <a:cs typeface="Calibri"/>
            </a:rPr>
            <a:t>PREFEITURA DE PERDIGÃO - 2021/2024
</a:t>
          </a:r>
          <a:r>
            <a:rPr lang="en-US" cap="none" sz="1100" b="0" i="0" u="none" baseline="0">
              <a:solidFill>
                <a:srgbClr val="000000"/>
              </a:solidFill>
              <a:latin typeface="Calibri"/>
              <a:ea typeface="Calibri"/>
              <a:cs typeface="Calibri"/>
            </a:rPr>
            <a:t>Av. Santa Rita, 150 – Centro - Perdigão / MG - CEP:35.545-000   CNPJ – 18.301.051.0001 / 19 
</a:t>
          </a:r>
          <a:r>
            <a:rPr lang="en-US" cap="none" sz="1100" b="0" i="0" u="none" baseline="0">
              <a:solidFill>
                <a:srgbClr val="000000"/>
              </a:solidFill>
              <a:latin typeface="Calibri"/>
              <a:ea typeface="Calibri"/>
              <a:cs typeface="Calibri"/>
            </a:rPr>
            <a:t>Tel/ Fax: (37) 3287-1030 E - mail: prefeituradeperdigaogabinete@gmail.com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385"/>
  <sheetViews>
    <sheetView tabSelected="1" view="pageBreakPreview" zoomScale="89" zoomScaleSheetLayoutView="89" zoomScalePageLayoutView="0" workbookViewId="0" topLeftCell="A1">
      <pane ySplit="1" topLeftCell="A2" activePane="bottomLeft" state="frozen"/>
      <selection pane="topLeft" activeCell="B25" sqref="B25:F25"/>
      <selection pane="bottomLeft" activeCell="E18" sqref="E18"/>
    </sheetView>
  </sheetViews>
  <sheetFormatPr defaultColWidth="11.421875" defaultRowHeight="12.75"/>
  <cols>
    <col min="1" max="1" width="11.00390625" style="1107" customWidth="1"/>
    <col min="2" max="2" width="1.8515625" style="1107" hidden="1" customWidth="1"/>
    <col min="3" max="3" width="9.140625" style="641" customWidth="1"/>
    <col min="4" max="4" width="10.140625" style="641" customWidth="1"/>
    <col min="5" max="5" width="59.00390625" style="503" customWidth="1"/>
    <col min="6" max="6" width="9.00390625" style="1107" bestFit="1" customWidth="1"/>
    <col min="7" max="7" width="10.140625" style="1108" bestFit="1" customWidth="1"/>
    <col min="8" max="8" width="10.7109375" style="1109" customWidth="1"/>
    <col min="9" max="9" width="13.7109375" style="1108" customWidth="1"/>
    <col min="10" max="10" width="17.140625" style="503" bestFit="1" customWidth="1"/>
    <col min="11" max="11" width="16.140625" style="503" bestFit="1" customWidth="1"/>
    <col min="12" max="12" width="10.7109375" style="503" hidden="1" customWidth="1"/>
    <col min="13" max="13" width="7.421875" style="503" hidden="1" customWidth="1"/>
    <col min="14" max="16384" width="0" style="503" hidden="1" customWidth="1"/>
  </cols>
  <sheetData>
    <row r="1" spans="1:11" ht="25.5" customHeight="1" thickBot="1">
      <c r="A1" s="496" t="s">
        <v>5</v>
      </c>
      <c r="B1" s="497"/>
      <c r="C1" s="498" t="s">
        <v>6</v>
      </c>
      <c r="D1" s="498" t="s">
        <v>7</v>
      </c>
      <c r="E1" s="499" t="s">
        <v>8</v>
      </c>
      <c r="F1" s="499" t="s">
        <v>9</v>
      </c>
      <c r="G1" s="500" t="s">
        <v>10</v>
      </c>
      <c r="H1" s="501" t="s">
        <v>11</v>
      </c>
      <c r="I1" s="500" t="s">
        <v>12</v>
      </c>
      <c r="J1" s="499" t="s">
        <v>13</v>
      </c>
      <c r="K1" s="502" t="s">
        <v>14</v>
      </c>
    </row>
    <row r="2" spans="1:11" ht="14.25" customHeight="1">
      <c r="A2" s="504" t="s">
        <v>520</v>
      </c>
      <c r="B2" s="505"/>
      <c r="C2" s="505"/>
      <c r="D2" s="505"/>
      <c r="E2" s="505"/>
      <c r="F2" s="505"/>
      <c r="G2" s="505"/>
      <c r="H2" s="505"/>
      <c r="I2" s="505"/>
      <c r="J2" s="505"/>
      <c r="K2" s="506"/>
    </row>
    <row r="3" spans="1:11" ht="11.25">
      <c r="A3" s="507"/>
      <c r="B3" s="508"/>
      <c r="C3" s="508"/>
      <c r="D3" s="508"/>
      <c r="E3" s="508"/>
      <c r="F3" s="508"/>
      <c r="G3" s="508"/>
      <c r="H3" s="508"/>
      <c r="I3" s="508"/>
      <c r="J3" s="508"/>
      <c r="K3" s="509"/>
    </row>
    <row r="4" spans="1:11" ht="11.25">
      <c r="A4" s="507"/>
      <c r="B4" s="508"/>
      <c r="C4" s="508"/>
      <c r="D4" s="508"/>
      <c r="E4" s="508"/>
      <c r="F4" s="508"/>
      <c r="G4" s="508"/>
      <c r="H4" s="508"/>
      <c r="I4" s="508"/>
      <c r="J4" s="508"/>
      <c r="K4" s="509"/>
    </row>
    <row r="5" spans="1:11" ht="11.25">
      <c r="A5" s="507"/>
      <c r="B5" s="508"/>
      <c r="C5" s="508"/>
      <c r="D5" s="508"/>
      <c r="E5" s="508"/>
      <c r="F5" s="508"/>
      <c r="G5" s="508"/>
      <c r="H5" s="508"/>
      <c r="I5" s="508"/>
      <c r="J5" s="508"/>
      <c r="K5" s="509"/>
    </row>
    <row r="6" spans="1:11" ht="11.25">
      <c r="A6" s="507"/>
      <c r="B6" s="508"/>
      <c r="C6" s="508"/>
      <c r="D6" s="508"/>
      <c r="E6" s="508"/>
      <c r="F6" s="508"/>
      <c r="G6" s="508"/>
      <c r="H6" s="508"/>
      <c r="I6" s="508"/>
      <c r="J6" s="508"/>
      <c r="K6" s="509"/>
    </row>
    <row r="7" spans="1:11" ht="12" thickBot="1">
      <c r="A7" s="510"/>
      <c r="B7" s="511"/>
      <c r="C7" s="511"/>
      <c r="D7" s="511"/>
      <c r="E7" s="511"/>
      <c r="F7" s="511"/>
      <c r="G7" s="511"/>
      <c r="H7" s="511"/>
      <c r="I7" s="511"/>
      <c r="J7" s="511"/>
      <c r="K7" s="512"/>
    </row>
    <row r="8" spans="1:11" ht="45.75" customHeight="1" thickBot="1">
      <c r="A8" s="513" t="s">
        <v>189</v>
      </c>
      <c r="B8" s="514"/>
      <c r="C8" s="514"/>
      <c r="D8" s="514"/>
      <c r="E8" s="514"/>
      <c r="F8" s="514"/>
      <c r="G8" s="514"/>
      <c r="H8" s="514"/>
      <c r="I8" s="514"/>
      <c r="J8" s="514"/>
      <c r="K8" s="515"/>
    </row>
    <row r="9" spans="1:16" ht="12.75" customHeight="1">
      <c r="A9" s="516" t="s">
        <v>0</v>
      </c>
      <c r="B9" s="517" t="s">
        <v>1</v>
      </c>
      <c r="C9" s="518"/>
      <c r="D9" s="518"/>
      <c r="E9" s="518"/>
      <c r="F9" s="518"/>
      <c r="G9" s="518"/>
      <c r="H9" s="518"/>
      <c r="I9" s="519"/>
      <c r="J9" s="520" t="s">
        <v>2</v>
      </c>
      <c r="K9" s="521">
        <f ca="1">TODAY()</f>
        <v>44411</v>
      </c>
      <c r="L9" s="522"/>
      <c r="M9" s="522"/>
      <c r="N9" s="522"/>
      <c r="O9" s="522"/>
      <c r="P9" s="522"/>
    </row>
    <row r="10" spans="1:16" ht="26.25" thickBot="1">
      <c r="A10" s="523" t="s">
        <v>3</v>
      </c>
      <c r="B10" s="524" t="s">
        <v>334</v>
      </c>
      <c r="C10" s="525"/>
      <c r="D10" s="525"/>
      <c r="E10" s="525"/>
      <c r="F10" s="525"/>
      <c r="G10" s="525"/>
      <c r="H10" s="525"/>
      <c r="I10" s="526"/>
      <c r="J10" s="527" t="s">
        <v>4</v>
      </c>
      <c r="K10" s="528">
        <v>0.2286</v>
      </c>
      <c r="L10" s="522"/>
      <c r="M10" s="522"/>
      <c r="N10" s="522"/>
      <c r="O10" s="522"/>
      <c r="P10" s="522"/>
    </row>
    <row r="11" spans="1:16" ht="24" thickBot="1">
      <c r="A11" s="529" t="s">
        <v>336</v>
      </c>
      <c r="B11" s="530"/>
      <c r="C11" s="530"/>
      <c r="D11" s="530"/>
      <c r="E11" s="530"/>
      <c r="F11" s="530"/>
      <c r="G11" s="530"/>
      <c r="H11" s="530"/>
      <c r="I11" s="530"/>
      <c r="J11" s="530"/>
      <c r="K11" s="531"/>
      <c r="L11" s="522"/>
      <c r="M11" s="522"/>
      <c r="N11" s="522"/>
      <c r="O11" s="522"/>
      <c r="P11" s="522"/>
    </row>
    <row r="12" spans="1:16" ht="25.5" customHeight="1" thickBot="1">
      <c r="A12" s="532" t="s">
        <v>331</v>
      </c>
      <c r="B12" s="533"/>
      <c r="C12" s="533"/>
      <c r="D12" s="533"/>
      <c r="E12" s="533"/>
      <c r="F12" s="533"/>
      <c r="G12" s="533"/>
      <c r="H12" s="533"/>
      <c r="I12" s="533"/>
      <c r="J12" s="533"/>
      <c r="K12" s="534"/>
      <c r="L12" s="522"/>
      <c r="M12" s="535"/>
      <c r="N12" s="522"/>
      <c r="O12" s="522"/>
      <c r="P12" s="522"/>
    </row>
    <row r="13" spans="1:16" s="540" customFormat="1" ht="15" customHeight="1" thickBot="1">
      <c r="A13" s="536"/>
      <c r="B13" s="537"/>
      <c r="C13" s="537"/>
      <c r="D13" s="537"/>
      <c r="E13" s="537"/>
      <c r="F13" s="537"/>
      <c r="G13" s="537"/>
      <c r="H13" s="537"/>
      <c r="I13" s="537"/>
      <c r="J13" s="537"/>
      <c r="K13" s="538"/>
      <c r="L13" s="539"/>
      <c r="M13" s="539"/>
      <c r="N13" s="539"/>
      <c r="O13" s="539"/>
      <c r="P13" s="539"/>
    </row>
    <row r="14" spans="1:16" ht="25.5">
      <c r="A14" s="541" t="s">
        <v>5</v>
      </c>
      <c r="B14" s="542"/>
      <c r="C14" s="543" t="s">
        <v>6</v>
      </c>
      <c r="D14" s="543" t="s">
        <v>7</v>
      </c>
      <c r="E14" s="544" t="s">
        <v>8</v>
      </c>
      <c r="F14" s="544" t="s">
        <v>9</v>
      </c>
      <c r="G14" s="545" t="s">
        <v>10</v>
      </c>
      <c r="H14" s="545" t="s">
        <v>11</v>
      </c>
      <c r="I14" s="545" t="s">
        <v>12</v>
      </c>
      <c r="J14" s="544" t="s">
        <v>13</v>
      </c>
      <c r="K14" s="546" t="s">
        <v>14</v>
      </c>
      <c r="L14" s="522"/>
      <c r="M14" s="547"/>
      <c r="N14" s="522"/>
      <c r="O14" s="522"/>
      <c r="P14" s="522"/>
    </row>
    <row r="15" spans="1:16" ht="11.25">
      <c r="A15" s="548"/>
      <c r="B15" s="549"/>
      <c r="C15" s="550"/>
      <c r="D15" s="550"/>
      <c r="E15" s="551"/>
      <c r="F15" s="551"/>
      <c r="G15" s="552"/>
      <c r="H15" s="552"/>
      <c r="I15" s="552"/>
      <c r="J15" s="551"/>
      <c r="K15" s="553"/>
      <c r="L15" s="522"/>
      <c r="M15" s="522"/>
      <c r="N15" s="522"/>
      <c r="O15" s="522"/>
      <c r="P15" s="522"/>
    </row>
    <row r="16" spans="1:16" ht="12.75">
      <c r="A16" s="554">
        <v>1</v>
      </c>
      <c r="B16" s="555"/>
      <c r="C16" s="556"/>
      <c r="D16" s="556"/>
      <c r="E16" s="557" t="s">
        <v>15</v>
      </c>
      <c r="F16" s="557"/>
      <c r="G16" s="558"/>
      <c r="H16" s="558"/>
      <c r="I16" s="558"/>
      <c r="J16" s="559"/>
      <c r="K16" s="560"/>
      <c r="L16" s="522"/>
      <c r="M16" s="522"/>
      <c r="N16" s="522"/>
      <c r="O16" s="522"/>
      <c r="P16" s="522"/>
    </row>
    <row r="17" spans="1:16" ht="76.5">
      <c r="A17" s="561" t="s">
        <v>16</v>
      </c>
      <c r="B17" s="562"/>
      <c r="C17" s="563" t="s">
        <v>17</v>
      </c>
      <c r="D17" s="563" t="s">
        <v>18</v>
      </c>
      <c r="E17" s="564" t="s">
        <v>190</v>
      </c>
      <c r="F17" s="563" t="s">
        <v>218</v>
      </c>
      <c r="G17" s="565">
        <v>4.5</v>
      </c>
      <c r="H17" s="565">
        <f aca="true" t="shared" si="0" ref="H17:H31">N17*M17</f>
        <v>119.6455</v>
      </c>
      <c r="I17" s="565">
        <f>(H17*$K$10)+H17</f>
        <v>146.9964613</v>
      </c>
      <c r="J17" s="566">
        <f>I17*G17</f>
        <v>661.48407585</v>
      </c>
      <c r="K17" s="567"/>
      <c r="L17" s="522"/>
      <c r="M17" s="568">
        <v>0.65</v>
      </c>
      <c r="N17" s="569">
        <v>184.07</v>
      </c>
      <c r="O17" s="522"/>
      <c r="P17" s="522"/>
    </row>
    <row r="18" spans="1:16" ht="12.75">
      <c r="A18" s="561" t="s">
        <v>20</v>
      </c>
      <c r="B18" s="570"/>
      <c r="C18" s="563" t="s">
        <v>17</v>
      </c>
      <c r="D18" s="571" t="s">
        <v>21</v>
      </c>
      <c r="E18" s="572" t="s">
        <v>22</v>
      </c>
      <c r="F18" s="563" t="s">
        <v>218</v>
      </c>
      <c r="G18" s="565">
        <v>2088.47</v>
      </c>
      <c r="H18" s="565">
        <f t="shared" si="0"/>
        <v>4.7645</v>
      </c>
      <c r="I18" s="565">
        <f>(H18*$K$10)+H18</f>
        <v>5.8536646999999995</v>
      </c>
      <c r="J18" s="566">
        <f>I18*G18</f>
        <v>12225.203116008997</v>
      </c>
      <c r="K18" s="567"/>
      <c r="L18" s="522"/>
      <c r="M18" s="568">
        <v>0.65</v>
      </c>
      <c r="N18" s="569">
        <v>7.33</v>
      </c>
      <c r="O18" s="522"/>
      <c r="P18" s="522"/>
    </row>
    <row r="19" spans="1:16" ht="24.75" customHeight="1">
      <c r="A19" s="561" t="s">
        <v>191</v>
      </c>
      <c r="B19" s="570"/>
      <c r="C19" s="563" t="s">
        <v>17</v>
      </c>
      <c r="D19" s="571" t="s">
        <v>194</v>
      </c>
      <c r="E19" s="572" t="s">
        <v>195</v>
      </c>
      <c r="F19" s="563" t="s">
        <v>218</v>
      </c>
      <c r="G19" s="565">
        <v>24.14</v>
      </c>
      <c r="H19" s="565">
        <f t="shared" si="0"/>
        <v>38.603500000000004</v>
      </c>
      <c r="I19" s="565">
        <f>(H19*$K$10)+H19</f>
        <v>47.4282601</v>
      </c>
      <c r="J19" s="566">
        <f>I19*G19</f>
        <v>1144.918198814</v>
      </c>
      <c r="K19" s="567"/>
      <c r="L19" s="522"/>
      <c r="M19" s="568">
        <v>0.65</v>
      </c>
      <c r="N19" s="569">
        <v>59.39</v>
      </c>
      <c r="O19" s="522"/>
      <c r="P19" s="522"/>
    </row>
    <row r="20" spans="1:16" ht="33" customHeight="1">
      <c r="A20" s="561" t="s">
        <v>193</v>
      </c>
      <c r="B20" s="570"/>
      <c r="C20" s="563" t="s">
        <v>17</v>
      </c>
      <c r="D20" s="571" t="s">
        <v>196</v>
      </c>
      <c r="E20" s="572" t="s">
        <v>197</v>
      </c>
      <c r="F20" s="563" t="s">
        <v>218</v>
      </c>
      <c r="G20" s="565">
        <f>(8.6*3.9)+((4*3.9)*3)+(1*3.9)+(8.33*3.9)</f>
        <v>116.727</v>
      </c>
      <c r="H20" s="565">
        <f t="shared" si="0"/>
        <v>62.6405</v>
      </c>
      <c r="I20" s="565">
        <f>(H20*$K$10)+H20</f>
        <v>76.9601183</v>
      </c>
      <c r="J20" s="566">
        <f>I20*G20</f>
        <v>8983.3237288041</v>
      </c>
      <c r="K20" s="567"/>
      <c r="L20" s="522"/>
      <c r="M20" s="568">
        <v>0.65</v>
      </c>
      <c r="N20" s="569">
        <v>96.37</v>
      </c>
      <c r="O20" s="522"/>
      <c r="P20" s="522"/>
    </row>
    <row r="21" spans="1:16" ht="25.5">
      <c r="A21" s="561" t="s">
        <v>198</v>
      </c>
      <c r="B21" s="570"/>
      <c r="C21" s="563" t="s">
        <v>17</v>
      </c>
      <c r="D21" s="571" t="s">
        <v>200</v>
      </c>
      <c r="E21" s="572" t="s">
        <v>199</v>
      </c>
      <c r="F21" s="563" t="s">
        <v>218</v>
      </c>
      <c r="G21" s="565">
        <v>197</v>
      </c>
      <c r="H21" s="565">
        <f t="shared" si="0"/>
        <v>7.41</v>
      </c>
      <c r="I21" s="565">
        <f>(H21*$K$10)+H21</f>
        <v>9.103926</v>
      </c>
      <c r="J21" s="566">
        <f>I21*G21</f>
        <v>1793.4734219999998</v>
      </c>
      <c r="K21" s="567"/>
      <c r="L21" s="522"/>
      <c r="M21" s="568">
        <v>0.65</v>
      </c>
      <c r="N21" s="569">
        <v>11.4</v>
      </c>
      <c r="O21" s="522"/>
      <c r="P21" s="522"/>
    </row>
    <row r="22" spans="1:25" s="581" customFormat="1" ht="12.75">
      <c r="A22" s="573"/>
      <c r="B22" s="574"/>
      <c r="C22" s="575"/>
      <c r="D22" s="575"/>
      <c r="E22" s="576" t="s">
        <v>23</v>
      </c>
      <c r="F22" s="577"/>
      <c r="G22" s="578"/>
      <c r="H22" s="578"/>
      <c r="I22" s="578"/>
      <c r="J22" s="579">
        <f>SUM(J17:J21)</f>
        <v>24808.4025414771</v>
      </c>
      <c r="K22" s="580">
        <f>J22</f>
        <v>24808.4025414771</v>
      </c>
      <c r="L22" s="522"/>
      <c r="M22" s="568">
        <v>0.65</v>
      </c>
      <c r="N22" s="522"/>
      <c r="O22" s="522"/>
      <c r="P22" s="522"/>
      <c r="Q22" s="522"/>
      <c r="R22" s="522"/>
      <c r="S22" s="522"/>
      <c r="T22" s="522"/>
      <c r="U22" s="522"/>
      <c r="V22" s="522"/>
      <c r="W22" s="522"/>
      <c r="X22" s="522"/>
      <c r="Y22" s="522"/>
    </row>
    <row r="23" spans="1:16" ht="12.75" customHeight="1">
      <c r="A23" s="582"/>
      <c r="B23" s="583"/>
      <c r="C23" s="583"/>
      <c r="D23" s="583"/>
      <c r="E23" s="583"/>
      <c r="F23" s="583"/>
      <c r="G23" s="583"/>
      <c r="H23" s="565"/>
      <c r="I23" s="583"/>
      <c r="J23" s="583"/>
      <c r="K23" s="584"/>
      <c r="L23" s="522"/>
      <c r="M23" s="568">
        <v>0.65</v>
      </c>
      <c r="N23" s="522"/>
      <c r="O23" s="522"/>
      <c r="P23" s="522"/>
    </row>
    <row r="24" spans="1:16" ht="12.75">
      <c r="A24" s="585">
        <v>2</v>
      </c>
      <c r="B24" s="586"/>
      <c r="C24" s="587"/>
      <c r="D24" s="556"/>
      <c r="E24" s="588" t="s">
        <v>24</v>
      </c>
      <c r="F24" s="588"/>
      <c r="G24" s="578"/>
      <c r="H24" s="578"/>
      <c r="I24" s="578"/>
      <c r="J24" s="589"/>
      <c r="K24" s="590"/>
      <c r="L24" s="522"/>
      <c r="M24" s="568">
        <v>0.65</v>
      </c>
      <c r="N24" s="522"/>
      <c r="O24" s="522"/>
      <c r="P24" s="522"/>
    </row>
    <row r="25" spans="1:16" ht="12.75">
      <c r="A25" s="585" t="s">
        <v>25</v>
      </c>
      <c r="B25" s="586"/>
      <c r="C25" s="587"/>
      <c r="D25" s="587"/>
      <c r="E25" s="588" t="s">
        <v>26</v>
      </c>
      <c r="F25" s="588"/>
      <c r="G25" s="578"/>
      <c r="H25" s="578"/>
      <c r="I25" s="578"/>
      <c r="J25" s="589"/>
      <c r="K25" s="590"/>
      <c r="L25" s="522"/>
      <c r="M25" s="568">
        <v>0.65</v>
      </c>
      <c r="N25" s="522"/>
      <c r="O25" s="522"/>
      <c r="P25" s="522"/>
    </row>
    <row r="26" spans="1:16" ht="12.75" customHeight="1">
      <c r="A26" s="591" t="s">
        <v>27</v>
      </c>
      <c r="B26" s="592"/>
      <c r="C26" s="593" t="s">
        <v>17</v>
      </c>
      <c r="D26" s="594" t="s">
        <v>28</v>
      </c>
      <c r="E26" s="595" t="s">
        <v>29</v>
      </c>
      <c r="F26" s="594" t="s">
        <v>214</v>
      </c>
      <c r="G26" s="565">
        <f>(289.8+2.6+42.2)*0.5</f>
        <v>167.3</v>
      </c>
      <c r="H26" s="565">
        <f t="shared" si="0"/>
        <v>23.250500000000002</v>
      </c>
      <c r="I26" s="565">
        <f aca="true" t="shared" si="1" ref="I26:I31">(H26*$K$10)+H26</f>
        <v>28.565564300000002</v>
      </c>
      <c r="J26" s="566">
        <f aca="true" t="shared" si="2" ref="J26:J31">I26*G26</f>
        <v>4779.018907390001</v>
      </c>
      <c r="K26" s="596"/>
      <c r="L26" s="597"/>
      <c r="M26" s="568">
        <v>0.65</v>
      </c>
      <c r="N26" s="569">
        <v>35.77</v>
      </c>
      <c r="O26" s="522"/>
      <c r="P26" s="522"/>
    </row>
    <row r="27" spans="1:16" ht="38.25">
      <c r="A27" s="591" t="s">
        <v>31</v>
      </c>
      <c r="B27" s="592"/>
      <c r="C27" s="593" t="s">
        <v>17</v>
      </c>
      <c r="D27" s="598" t="s">
        <v>201</v>
      </c>
      <c r="E27" s="599" t="s">
        <v>202</v>
      </c>
      <c r="F27" s="594" t="s">
        <v>214</v>
      </c>
      <c r="G27" s="565">
        <f>G26</f>
        <v>167.3</v>
      </c>
      <c r="H27" s="565">
        <f t="shared" si="0"/>
        <v>3.1850000000000005</v>
      </c>
      <c r="I27" s="565">
        <f t="shared" si="1"/>
        <v>3.9130910000000005</v>
      </c>
      <c r="J27" s="566">
        <f t="shared" si="2"/>
        <v>654.6601243000001</v>
      </c>
      <c r="K27" s="596"/>
      <c r="L27" s="597"/>
      <c r="M27" s="568">
        <v>0.65</v>
      </c>
      <c r="N27" s="569">
        <v>4.9</v>
      </c>
      <c r="O27" s="522"/>
      <c r="P27" s="522"/>
    </row>
    <row r="28" spans="1:16" ht="25.5">
      <c r="A28" s="591" t="s">
        <v>35</v>
      </c>
      <c r="B28" s="600"/>
      <c r="C28" s="593" t="s">
        <v>17</v>
      </c>
      <c r="D28" s="601" t="s">
        <v>203</v>
      </c>
      <c r="E28" s="602" t="s">
        <v>204</v>
      </c>
      <c r="F28" s="594" t="s">
        <v>214</v>
      </c>
      <c r="G28" s="565">
        <v>23.5</v>
      </c>
      <c r="H28" s="565">
        <f t="shared" si="0"/>
        <v>4.4265</v>
      </c>
      <c r="I28" s="565">
        <f t="shared" si="1"/>
        <v>5.4383979</v>
      </c>
      <c r="J28" s="566">
        <f t="shared" si="2"/>
        <v>127.80235065</v>
      </c>
      <c r="K28" s="584"/>
      <c r="L28" s="597"/>
      <c r="M28" s="568">
        <v>0.65</v>
      </c>
      <c r="N28" s="569">
        <v>6.81</v>
      </c>
      <c r="O28" s="522"/>
      <c r="P28" s="603"/>
    </row>
    <row r="29" spans="1:16" ht="25.5">
      <c r="A29" s="591" t="s">
        <v>205</v>
      </c>
      <c r="B29" s="592"/>
      <c r="C29" s="593" t="s">
        <v>17</v>
      </c>
      <c r="D29" s="594" t="s">
        <v>32</v>
      </c>
      <c r="E29" s="595" t="s">
        <v>33</v>
      </c>
      <c r="F29" s="594" t="s">
        <v>329</v>
      </c>
      <c r="G29" s="565">
        <f>(963.4+813.9+1952.5)*0.5</f>
        <v>1864.9</v>
      </c>
      <c r="H29" s="565">
        <f t="shared" si="0"/>
        <v>7.995000000000001</v>
      </c>
      <c r="I29" s="565">
        <f t="shared" si="1"/>
        <v>9.822657000000001</v>
      </c>
      <c r="J29" s="566">
        <f t="shared" si="2"/>
        <v>18318.273039300002</v>
      </c>
      <c r="K29" s="596"/>
      <c r="L29" s="597"/>
      <c r="M29" s="568">
        <v>0.65</v>
      </c>
      <c r="N29" s="569">
        <v>12.3</v>
      </c>
      <c r="O29" s="522"/>
      <c r="P29" s="522"/>
    </row>
    <row r="30" spans="1:16" ht="38.25">
      <c r="A30" s="591" t="s">
        <v>206</v>
      </c>
      <c r="B30" s="600"/>
      <c r="C30" s="593" t="s">
        <v>17</v>
      </c>
      <c r="D30" s="593" t="s">
        <v>36</v>
      </c>
      <c r="E30" s="604" t="s">
        <v>37</v>
      </c>
      <c r="F30" s="594" t="s">
        <v>214</v>
      </c>
      <c r="G30" s="565">
        <f>G27</f>
        <v>167.3</v>
      </c>
      <c r="H30" s="565">
        <f t="shared" si="0"/>
        <v>273.611</v>
      </c>
      <c r="I30" s="565">
        <f t="shared" si="1"/>
        <v>336.1584746</v>
      </c>
      <c r="J30" s="566">
        <f t="shared" si="2"/>
        <v>56239.31280058</v>
      </c>
      <c r="K30" s="584"/>
      <c r="L30" s="597"/>
      <c r="M30" s="568">
        <v>0.65</v>
      </c>
      <c r="N30" s="569">
        <v>420.94</v>
      </c>
      <c r="O30" s="522"/>
      <c r="P30" s="603"/>
    </row>
    <row r="31" spans="1:16" ht="25.5">
      <c r="A31" s="591"/>
      <c r="B31" s="600"/>
      <c r="C31" s="593" t="s">
        <v>17</v>
      </c>
      <c r="D31" s="563" t="s">
        <v>281</v>
      </c>
      <c r="E31" s="605" t="s">
        <v>282</v>
      </c>
      <c r="F31" s="594" t="s">
        <v>218</v>
      </c>
      <c r="G31" s="565">
        <v>27.14</v>
      </c>
      <c r="H31" s="565">
        <f t="shared" si="0"/>
        <v>37.609</v>
      </c>
      <c r="I31" s="565">
        <f t="shared" si="1"/>
        <v>46.2064174</v>
      </c>
      <c r="J31" s="566">
        <f t="shared" si="2"/>
        <v>1254.042168236</v>
      </c>
      <c r="K31" s="584"/>
      <c r="L31" s="597"/>
      <c r="M31" s="568">
        <v>0.65</v>
      </c>
      <c r="N31" s="569">
        <v>57.86</v>
      </c>
      <c r="O31" s="522"/>
      <c r="P31" s="603"/>
    </row>
    <row r="32" spans="1:16" ht="12.75">
      <c r="A32" s="606" t="s">
        <v>38</v>
      </c>
      <c r="B32" s="607"/>
      <c r="C32" s="608"/>
      <c r="D32" s="608"/>
      <c r="E32" s="609" t="s">
        <v>39</v>
      </c>
      <c r="F32" s="609"/>
      <c r="G32" s="578"/>
      <c r="H32" s="578"/>
      <c r="I32" s="578"/>
      <c r="J32" s="610"/>
      <c r="K32" s="611"/>
      <c r="L32" s="597"/>
      <c r="M32" s="568">
        <v>0.65</v>
      </c>
      <c r="N32" s="522"/>
      <c r="O32" s="522"/>
      <c r="P32" s="522"/>
    </row>
    <row r="33" spans="1:16" ht="51">
      <c r="A33" s="591" t="s">
        <v>40</v>
      </c>
      <c r="B33" s="592"/>
      <c r="C33" s="594" t="s">
        <v>41</v>
      </c>
      <c r="D33" s="594">
        <v>92441</v>
      </c>
      <c r="E33" s="604" t="s">
        <v>42</v>
      </c>
      <c r="F33" s="594" t="s">
        <v>218</v>
      </c>
      <c r="G33" s="565">
        <f>303.8*0.5</f>
        <v>151.9</v>
      </c>
      <c r="H33" s="565">
        <f>N33*M33</f>
        <v>30.283500000000004</v>
      </c>
      <c r="I33" s="565">
        <f>(H33*$K$10)+H33</f>
        <v>37.2063081</v>
      </c>
      <c r="J33" s="566">
        <f>I33*G33</f>
        <v>5651.638200390001</v>
      </c>
      <c r="K33" s="596"/>
      <c r="L33" s="597"/>
      <c r="M33" s="568">
        <v>0.65</v>
      </c>
      <c r="N33" s="569">
        <v>46.59</v>
      </c>
      <c r="O33" s="522"/>
      <c r="P33" s="522"/>
    </row>
    <row r="34" spans="1:16" ht="25.5">
      <c r="A34" s="591" t="s">
        <v>43</v>
      </c>
      <c r="B34" s="592"/>
      <c r="C34" s="594" t="s">
        <v>17</v>
      </c>
      <c r="D34" s="594" t="s">
        <v>32</v>
      </c>
      <c r="E34" s="595" t="s">
        <v>33</v>
      </c>
      <c r="F34" s="594" t="s">
        <v>329</v>
      </c>
      <c r="G34" s="565">
        <f>3052.9*0.6</f>
        <v>1831.74</v>
      </c>
      <c r="H34" s="565">
        <f>N34*M34</f>
        <v>8.424000000000001</v>
      </c>
      <c r="I34" s="565">
        <f>(H34*$K$10)+H34</f>
        <v>10.349726400000002</v>
      </c>
      <c r="J34" s="566">
        <f>I34*G34</f>
        <v>18958.007835936</v>
      </c>
      <c r="K34" s="596"/>
      <c r="L34" s="597"/>
      <c r="M34" s="568">
        <v>0.65</v>
      </c>
      <c r="N34" s="569">
        <v>12.96</v>
      </c>
      <c r="O34" s="522"/>
      <c r="P34" s="522"/>
    </row>
    <row r="35" spans="1:16" ht="38.25">
      <c r="A35" s="591" t="s">
        <v>44</v>
      </c>
      <c r="B35" s="600"/>
      <c r="C35" s="593" t="s">
        <v>17</v>
      </c>
      <c r="D35" s="593" t="s">
        <v>45</v>
      </c>
      <c r="E35" s="604" t="s">
        <v>37</v>
      </c>
      <c r="F35" s="594" t="s">
        <v>214</v>
      </c>
      <c r="G35" s="565">
        <f>21.3*0.5</f>
        <v>10.65</v>
      </c>
      <c r="H35" s="565">
        <f>N35*M35</f>
        <v>273.611</v>
      </c>
      <c r="I35" s="565">
        <f>(H35*$K$10)+H35</f>
        <v>336.1584746</v>
      </c>
      <c r="J35" s="566">
        <f>I35*G35</f>
        <v>3580.08775449</v>
      </c>
      <c r="K35" s="584"/>
      <c r="L35" s="597"/>
      <c r="M35" s="568">
        <v>0.65</v>
      </c>
      <c r="N35" s="569">
        <v>420.94</v>
      </c>
      <c r="O35" s="522"/>
      <c r="P35" s="522"/>
    </row>
    <row r="36" spans="1:16" ht="12.75">
      <c r="A36" s="606" t="s">
        <v>46</v>
      </c>
      <c r="B36" s="607"/>
      <c r="C36" s="608"/>
      <c r="D36" s="608"/>
      <c r="E36" s="609" t="s">
        <v>47</v>
      </c>
      <c r="F36" s="609"/>
      <c r="G36" s="578"/>
      <c r="H36" s="578"/>
      <c r="I36" s="578"/>
      <c r="J36" s="610"/>
      <c r="K36" s="611"/>
      <c r="L36" s="597"/>
      <c r="M36" s="568">
        <v>0.65</v>
      </c>
      <c r="N36" s="522"/>
      <c r="O36" s="522"/>
      <c r="P36" s="522"/>
    </row>
    <row r="37" spans="1:16" ht="51">
      <c r="A37" s="591" t="s">
        <v>48</v>
      </c>
      <c r="B37" s="592"/>
      <c r="C37" s="594" t="s">
        <v>41</v>
      </c>
      <c r="D37" s="594">
        <v>92453</v>
      </c>
      <c r="E37" s="604" t="s">
        <v>49</v>
      </c>
      <c r="F37" s="594" t="s">
        <v>218</v>
      </c>
      <c r="G37" s="565">
        <f>607.4*0.5</f>
        <v>303.7</v>
      </c>
      <c r="H37" s="565">
        <f aca="true" t="shared" si="3" ref="H37:H46">N37*M37</f>
        <v>117.68900000000001</v>
      </c>
      <c r="I37" s="565">
        <f>(H37*$K$10)+H37</f>
        <v>144.5927054</v>
      </c>
      <c r="J37" s="566">
        <f>I37*G37</f>
        <v>43912.80462998</v>
      </c>
      <c r="K37" s="596"/>
      <c r="L37" s="597"/>
      <c r="M37" s="568">
        <v>0.65</v>
      </c>
      <c r="N37" s="569">
        <v>181.06</v>
      </c>
      <c r="O37" s="522"/>
      <c r="P37" s="522"/>
    </row>
    <row r="38" spans="1:256" s="612" customFormat="1" ht="25.5">
      <c r="A38" s="591" t="s">
        <v>50</v>
      </c>
      <c r="B38" s="592"/>
      <c r="C38" s="593" t="s">
        <v>17</v>
      </c>
      <c r="D38" s="594" t="s">
        <v>32</v>
      </c>
      <c r="E38" s="595" t="s">
        <v>33</v>
      </c>
      <c r="F38" s="594" t="s">
        <v>329</v>
      </c>
      <c r="G38" s="565">
        <f>4271.1*0.5</f>
        <v>2135.55</v>
      </c>
      <c r="H38" s="565">
        <f t="shared" si="3"/>
        <v>8.424000000000001</v>
      </c>
      <c r="I38" s="565">
        <f>(H38*$K$10)+H38</f>
        <v>10.349726400000002</v>
      </c>
      <c r="J38" s="566">
        <f>I38*G38</f>
        <v>22102.358213520005</v>
      </c>
      <c r="K38" s="596"/>
      <c r="L38" s="597"/>
      <c r="M38" s="568">
        <v>0.65</v>
      </c>
      <c r="N38" s="569">
        <v>12.96</v>
      </c>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2"/>
      <c r="BN38" s="522"/>
      <c r="BO38" s="522"/>
      <c r="BP38" s="522"/>
      <c r="BQ38" s="522"/>
      <c r="BR38" s="522"/>
      <c r="BS38" s="522"/>
      <c r="BT38" s="522"/>
      <c r="BU38" s="522"/>
      <c r="BV38" s="522"/>
      <c r="BW38" s="522"/>
      <c r="BX38" s="522"/>
      <c r="BY38" s="522"/>
      <c r="BZ38" s="522"/>
      <c r="CA38" s="522"/>
      <c r="CB38" s="522"/>
      <c r="CC38" s="522"/>
      <c r="CD38" s="522"/>
      <c r="CE38" s="522"/>
      <c r="CF38" s="522"/>
      <c r="CG38" s="522"/>
      <c r="CH38" s="522"/>
      <c r="CI38" s="522"/>
      <c r="CJ38" s="522"/>
      <c r="CK38" s="522"/>
      <c r="CL38" s="522"/>
      <c r="CM38" s="522"/>
      <c r="CN38" s="522"/>
      <c r="CO38" s="522"/>
      <c r="CP38" s="522"/>
      <c r="CQ38" s="522"/>
      <c r="CR38" s="522"/>
      <c r="CS38" s="522"/>
      <c r="CT38" s="522"/>
      <c r="CU38" s="522"/>
      <c r="CV38" s="522"/>
      <c r="CW38" s="522"/>
      <c r="CX38" s="522"/>
      <c r="CY38" s="522"/>
      <c r="CZ38" s="522"/>
      <c r="DA38" s="522"/>
      <c r="DB38" s="522"/>
      <c r="DC38" s="522"/>
      <c r="DD38" s="522"/>
      <c r="DE38" s="522"/>
      <c r="DF38" s="522"/>
      <c r="DG38" s="522"/>
      <c r="DH38" s="522"/>
      <c r="DI38" s="522"/>
      <c r="DJ38" s="522"/>
      <c r="DK38" s="522"/>
      <c r="DL38" s="522"/>
      <c r="DM38" s="522"/>
      <c r="DN38" s="522"/>
      <c r="DO38" s="522"/>
      <c r="DP38" s="522"/>
      <c r="DQ38" s="522"/>
      <c r="DR38" s="522"/>
      <c r="DS38" s="522"/>
      <c r="DT38" s="522"/>
      <c r="DU38" s="522"/>
      <c r="DV38" s="522"/>
      <c r="DW38" s="522"/>
      <c r="DX38" s="522"/>
      <c r="DY38" s="522"/>
      <c r="DZ38" s="522"/>
      <c r="EA38" s="522"/>
      <c r="EB38" s="522"/>
      <c r="EC38" s="522"/>
      <c r="ED38" s="522"/>
      <c r="EE38" s="522"/>
      <c r="EF38" s="522"/>
      <c r="EG38" s="522"/>
      <c r="EH38" s="522"/>
      <c r="EI38" s="522"/>
      <c r="EJ38" s="522"/>
      <c r="EK38" s="522"/>
      <c r="EL38" s="522"/>
      <c r="EM38" s="522"/>
      <c r="EN38" s="522"/>
      <c r="EO38" s="522"/>
      <c r="EP38" s="522"/>
      <c r="EQ38" s="522"/>
      <c r="ER38" s="522"/>
      <c r="ES38" s="522"/>
      <c r="ET38" s="522"/>
      <c r="EU38" s="522"/>
      <c r="EV38" s="522"/>
      <c r="EW38" s="522"/>
      <c r="EX38" s="522"/>
      <c r="EY38" s="522"/>
      <c r="EZ38" s="522"/>
      <c r="FA38" s="522"/>
      <c r="FB38" s="522"/>
      <c r="FC38" s="522"/>
      <c r="FD38" s="522"/>
      <c r="FE38" s="522"/>
      <c r="FF38" s="522"/>
      <c r="FG38" s="522"/>
      <c r="FH38" s="522"/>
      <c r="FI38" s="522"/>
      <c r="FJ38" s="522"/>
      <c r="FK38" s="522"/>
      <c r="FL38" s="522"/>
      <c r="FM38" s="522"/>
      <c r="FN38" s="522"/>
      <c r="FO38" s="522"/>
      <c r="FP38" s="522"/>
      <c r="FQ38" s="522"/>
      <c r="FR38" s="522"/>
      <c r="FS38" s="522"/>
      <c r="FT38" s="522"/>
      <c r="FU38" s="522"/>
      <c r="FV38" s="522"/>
      <c r="FW38" s="522"/>
      <c r="FX38" s="522"/>
      <c r="FY38" s="522"/>
      <c r="FZ38" s="522"/>
      <c r="GA38" s="522"/>
      <c r="GB38" s="522"/>
      <c r="GC38" s="522"/>
      <c r="GD38" s="522"/>
      <c r="GE38" s="522"/>
      <c r="GF38" s="522"/>
      <c r="GG38" s="522"/>
      <c r="GH38" s="522"/>
      <c r="GI38" s="522"/>
      <c r="GJ38" s="522"/>
      <c r="GK38" s="522"/>
      <c r="GL38" s="522"/>
      <c r="GM38" s="522"/>
      <c r="GN38" s="522"/>
      <c r="GO38" s="522"/>
      <c r="GP38" s="522"/>
      <c r="GQ38" s="522"/>
      <c r="GR38" s="522"/>
      <c r="GS38" s="522"/>
      <c r="GT38" s="522"/>
      <c r="GU38" s="522"/>
      <c r="GV38" s="522"/>
      <c r="GW38" s="522"/>
      <c r="GX38" s="522"/>
      <c r="GY38" s="522"/>
      <c r="GZ38" s="522"/>
      <c r="HA38" s="522"/>
      <c r="HB38" s="522"/>
      <c r="HC38" s="522"/>
      <c r="HD38" s="522"/>
      <c r="HE38" s="522"/>
      <c r="HF38" s="522"/>
      <c r="HG38" s="522"/>
      <c r="HH38" s="522"/>
      <c r="HI38" s="522"/>
      <c r="HJ38" s="522"/>
      <c r="HK38" s="522"/>
      <c r="HL38" s="522"/>
      <c r="HM38" s="522"/>
      <c r="HN38" s="522"/>
      <c r="HO38" s="522"/>
      <c r="HP38" s="522"/>
      <c r="HQ38" s="522"/>
      <c r="HR38" s="522"/>
      <c r="HS38" s="522"/>
      <c r="HT38" s="522"/>
      <c r="HU38" s="522"/>
      <c r="HV38" s="522"/>
      <c r="HW38" s="522"/>
      <c r="HX38" s="522"/>
      <c r="HY38" s="522"/>
      <c r="HZ38" s="522"/>
      <c r="IA38" s="522"/>
      <c r="IB38" s="522"/>
      <c r="IC38" s="522"/>
      <c r="ID38" s="522"/>
      <c r="IE38" s="522"/>
      <c r="IF38" s="522"/>
      <c r="IG38" s="522"/>
      <c r="IH38" s="522"/>
      <c r="II38" s="522"/>
      <c r="IJ38" s="522"/>
      <c r="IK38" s="522"/>
      <c r="IL38" s="522"/>
      <c r="IM38" s="522"/>
      <c r="IN38" s="522"/>
      <c r="IO38" s="522"/>
      <c r="IP38" s="522"/>
      <c r="IQ38" s="522"/>
      <c r="IR38" s="522"/>
      <c r="IS38" s="522"/>
      <c r="IT38" s="522"/>
      <c r="IU38" s="522"/>
      <c r="IV38" s="522"/>
    </row>
    <row r="39" spans="1:256" ht="38.25">
      <c r="A39" s="591" t="s">
        <v>51</v>
      </c>
      <c r="B39" s="600"/>
      <c r="C39" s="593" t="s">
        <v>17</v>
      </c>
      <c r="D39" s="593" t="s">
        <v>45</v>
      </c>
      <c r="E39" s="604" t="s">
        <v>37</v>
      </c>
      <c r="F39" s="594" t="s">
        <v>214</v>
      </c>
      <c r="G39" s="565">
        <f>49.3*0.5</f>
        <v>24.65</v>
      </c>
      <c r="H39" s="565">
        <f t="shared" si="3"/>
        <v>273.611</v>
      </c>
      <c r="I39" s="565">
        <f>(H39*$K$10)+H39</f>
        <v>336.1584746</v>
      </c>
      <c r="J39" s="566">
        <f>I39*G39</f>
        <v>8286.30639889</v>
      </c>
      <c r="K39" s="584"/>
      <c r="L39" s="597"/>
      <c r="M39" s="568">
        <v>0.65</v>
      </c>
      <c r="N39" s="569">
        <v>420.94</v>
      </c>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2"/>
      <c r="BY39" s="522"/>
      <c r="BZ39" s="522"/>
      <c r="CA39" s="522"/>
      <c r="CB39" s="522"/>
      <c r="CC39" s="522"/>
      <c r="CD39" s="522"/>
      <c r="CE39" s="522"/>
      <c r="CF39" s="522"/>
      <c r="CG39" s="522"/>
      <c r="CH39" s="522"/>
      <c r="CI39" s="522"/>
      <c r="CJ39" s="522"/>
      <c r="CK39" s="522"/>
      <c r="CL39" s="522"/>
      <c r="CM39" s="522"/>
      <c r="CN39" s="522"/>
      <c r="CO39" s="522"/>
      <c r="CP39" s="522"/>
      <c r="CQ39" s="522"/>
      <c r="CR39" s="522"/>
      <c r="CS39" s="522"/>
      <c r="CT39" s="522"/>
      <c r="CU39" s="522"/>
      <c r="CV39" s="522"/>
      <c r="CW39" s="522"/>
      <c r="CX39" s="522"/>
      <c r="CY39" s="522"/>
      <c r="CZ39" s="522"/>
      <c r="DA39" s="522"/>
      <c r="DB39" s="522"/>
      <c r="DC39" s="522"/>
      <c r="DD39" s="522"/>
      <c r="DE39" s="522"/>
      <c r="DF39" s="522"/>
      <c r="DG39" s="522"/>
      <c r="DH39" s="522"/>
      <c r="DI39" s="522"/>
      <c r="DJ39" s="522"/>
      <c r="DK39" s="522"/>
      <c r="DL39" s="522"/>
      <c r="DM39" s="522"/>
      <c r="DN39" s="522"/>
      <c r="DO39" s="522"/>
      <c r="DP39" s="522"/>
      <c r="DQ39" s="522"/>
      <c r="DR39" s="522"/>
      <c r="DS39" s="522"/>
      <c r="DT39" s="522"/>
      <c r="DU39" s="522"/>
      <c r="DV39" s="522"/>
      <c r="DW39" s="522"/>
      <c r="DX39" s="522"/>
      <c r="DY39" s="522"/>
      <c r="DZ39" s="522"/>
      <c r="EA39" s="522"/>
      <c r="EB39" s="522"/>
      <c r="EC39" s="522"/>
      <c r="ED39" s="522"/>
      <c r="EE39" s="522"/>
      <c r="EF39" s="522"/>
      <c r="EG39" s="522"/>
      <c r="EH39" s="522"/>
      <c r="EI39" s="522"/>
      <c r="EJ39" s="522"/>
      <c r="EK39" s="522"/>
      <c r="EL39" s="522"/>
      <c r="EM39" s="522"/>
      <c r="EN39" s="522"/>
      <c r="EO39" s="522"/>
      <c r="EP39" s="522"/>
      <c r="EQ39" s="522"/>
      <c r="ER39" s="522"/>
      <c r="ES39" s="522"/>
      <c r="ET39" s="522"/>
      <c r="EU39" s="522"/>
      <c r="EV39" s="522"/>
      <c r="EW39" s="522"/>
      <c r="EX39" s="522"/>
      <c r="EY39" s="522"/>
      <c r="EZ39" s="522"/>
      <c r="FA39" s="522"/>
      <c r="FB39" s="522"/>
      <c r="FC39" s="522"/>
      <c r="FD39" s="522"/>
      <c r="FE39" s="522"/>
      <c r="FF39" s="522"/>
      <c r="FG39" s="522"/>
      <c r="FH39" s="522"/>
      <c r="FI39" s="522"/>
      <c r="FJ39" s="522"/>
      <c r="FK39" s="522"/>
      <c r="FL39" s="522"/>
      <c r="FM39" s="522"/>
      <c r="FN39" s="522"/>
      <c r="FO39" s="522"/>
      <c r="FP39" s="522"/>
      <c r="FQ39" s="522"/>
      <c r="FR39" s="522"/>
      <c r="FS39" s="522"/>
      <c r="FT39" s="522"/>
      <c r="FU39" s="522"/>
      <c r="FV39" s="522"/>
      <c r="FW39" s="522"/>
      <c r="FX39" s="522"/>
      <c r="FY39" s="522"/>
      <c r="FZ39" s="522"/>
      <c r="GA39" s="522"/>
      <c r="GB39" s="522"/>
      <c r="GC39" s="522"/>
      <c r="GD39" s="522"/>
      <c r="GE39" s="522"/>
      <c r="GF39" s="522"/>
      <c r="GG39" s="522"/>
      <c r="GH39" s="522"/>
      <c r="GI39" s="522"/>
      <c r="GJ39" s="522"/>
      <c r="GK39" s="522"/>
      <c r="GL39" s="522"/>
      <c r="GM39" s="522"/>
      <c r="GN39" s="522"/>
      <c r="GO39" s="522"/>
      <c r="GP39" s="522"/>
      <c r="GQ39" s="522"/>
      <c r="GR39" s="522"/>
      <c r="GS39" s="522"/>
      <c r="GT39" s="522"/>
      <c r="GU39" s="522"/>
      <c r="GV39" s="522"/>
      <c r="GW39" s="522"/>
      <c r="GX39" s="522"/>
      <c r="GY39" s="522"/>
      <c r="GZ39" s="522"/>
      <c r="HA39" s="522"/>
      <c r="HB39" s="522"/>
      <c r="HC39" s="522"/>
      <c r="HD39" s="522"/>
      <c r="HE39" s="522"/>
      <c r="HF39" s="522"/>
      <c r="HG39" s="522"/>
      <c r="HH39" s="522"/>
      <c r="HI39" s="522"/>
      <c r="HJ39" s="522"/>
      <c r="HK39" s="522"/>
      <c r="HL39" s="522"/>
      <c r="HM39" s="522"/>
      <c r="HN39" s="522"/>
      <c r="HO39" s="522"/>
      <c r="HP39" s="522"/>
      <c r="HQ39" s="522"/>
      <c r="HR39" s="522"/>
      <c r="HS39" s="522"/>
      <c r="HT39" s="522"/>
      <c r="HU39" s="522"/>
      <c r="HV39" s="522"/>
      <c r="HW39" s="522"/>
      <c r="HX39" s="522"/>
      <c r="HY39" s="522"/>
      <c r="HZ39" s="522"/>
      <c r="IA39" s="522"/>
      <c r="IB39" s="522"/>
      <c r="IC39" s="522"/>
      <c r="ID39" s="522"/>
      <c r="IE39" s="522"/>
      <c r="IF39" s="522"/>
      <c r="IG39" s="522"/>
      <c r="IH39" s="522"/>
      <c r="II39" s="522"/>
      <c r="IJ39" s="522"/>
      <c r="IK39" s="522"/>
      <c r="IL39" s="522"/>
      <c r="IM39" s="522"/>
      <c r="IN39" s="522"/>
      <c r="IO39" s="522"/>
      <c r="IP39" s="522"/>
      <c r="IQ39" s="522"/>
      <c r="IR39" s="522"/>
      <c r="IS39" s="522"/>
      <c r="IT39" s="522"/>
      <c r="IU39" s="522"/>
      <c r="IV39" s="522"/>
    </row>
    <row r="40" spans="1:256" ht="12.75">
      <c r="A40" s="591"/>
      <c r="B40" s="600"/>
      <c r="C40" s="593"/>
      <c r="D40" s="593"/>
      <c r="E40" s="604"/>
      <c r="F40" s="594"/>
      <c r="G40" s="565"/>
      <c r="H40" s="565"/>
      <c r="I40" s="565"/>
      <c r="J40" s="566"/>
      <c r="K40" s="584"/>
      <c r="L40" s="597"/>
      <c r="M40" s="568">
        <v>0.65</v>
      </c>
      <c r="N40" s="569"/>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2"/>
      <c r="BI40" s="522"/>
      <c r="BJ40" s="522"/>
      <c r="BK40" s="522"/>
      <c r="BL40" s="522"/>
      <c r="BM40" s="522"/>
      <c r="BN40" s="522"/>
      <c r="BO40" s="522"/>
      <c r="BP40" s="522"/>
      <c r="BQ40" s="522"/>
      <c r="BR40" s="522"/>
      <c r="BS40" s="522"/>
      <c r="BT40" s="522"/>
      <c r="BU40" s="522"/>
      <c r="BV40" s="522"/>
      <c r="BW40" s="522"/>
      <c r="BX40" s="522"/>
      <c r="BY40" s="522"/>
      <c r="BZ40" s="522"/>
      <c r="CA40" s="522"/>
      <c r="CB40" s="522"/>
      <c r="CC40" s="522"/>
      <c r="CD40" s="522"/>
      <c r="CE40" s="522"/>
      <c r="CF40" s="522"/>
      <c r="CG40" s="522"/>
      <c r="CH40" s="522"/>
      <c r="CI40" s="522"/>
      <c r="CJ40" s="522"/>
      <c r="CK40" s="522"/>
      <c r="CL40" s="522"/>
      <c r="CM40" s="522"/>
      <c r="CN40" s="522"/>
      <c r="CO40" s="522"/>
      <c r="CP40" s="522"/>
      <c r="CQ40" s="522"/>
      <c r="CR40" s="522"/>
      <c r="CS40" s="522"/>
      <c r="CT40" s="522"/>
      <c r="CU40" s="522"/>
      <c r="CV40" s="522"/>
      <c r="CW40" s="522"/>
      <c r="CX40" s="522"/>
      <c r="CY40" s="522"/>
      <c r="CZ40" s="522"/>
      <c r="DA40" s="522"/>
      <c r="DB40" s="522"/>
      <c r="DC40" s="522"/>
      <c r="DD40" s="522"/>
      <c r="DE40" s="522"/>
      <c r="DF40" s="522"/>
      <c r="DG40" s="522"/>
      <c r="DH40" s="522"/>
      <c r="DI40" s="522"/>
      <c r="DJ40" s="522"/>
      <c r="DK40" s="522"/>
      <c r="DL40" s="522"/>
      <c r="DM40" s="522"/>
      <c r="DN40" s="522"/>
      <c r="DO40" s="522"/>
      <c r="DP40" s="522"/>
      <c r="DQ40" s="522"/>
      <c r="DR40" s="522"/>
      <c r="DS40" s="522"/>
      <c r="DT40" s="522"/>
      <c r="DU40" s="522"/>
      <c r="DV40" s="522"/>
      <c r="DW40" s="522"/>
      <c r="DX40" s="522"/>
      <c r="DY40" s="522"/>
      <c r="DZ40" s="522"/>
      <c r="EA40" s="522"/>
      <c r="EB40" s="522"/>
      <c r="EC40" s="522"/>
      <c r="ED40" s="522"/>
      <c r="EE40" s="522"/>
      <c r="EF40" s="522"/>
      <c r="EG40" s="522"/>
      <c r="EH40" s="522"/>
      <c r="EI40" s="522"/>
      <c r="EJ40" s="522"/>
      <c r="EK40" s="522"/>
      <c r="EL40" s="522"/>
      <c r="EM40" s="522"/>
      <c r="EN40" s="522"/>
      <c r="EO40" s="522"/>
      <c r="EP40" s="522"/>
      <c r="EQ40" s="522"/>
      <c r="ER40" s="522"/>
      <c r="ES40" s="522"/>
      <c r="ET40" s="522"/>
      <c r="EU40" s="522"/>
      <c r="EV40" s="522"/>
      <c r="EW40" s="522"/>
      <c r="EX40" s="522"/>
      <c r="EY40" s="522"/>
      <c r="EZ40" s="522"/>
      <c r="FA40" s="522"/>
      <c r="FB40" s="522"/>
      <c r="FC40" s="522"/>
      <c r="FD40" s="522"/>
      <c r="FE40" s="522"/>
      <c r="FF40" s="522"/>
      <c r="FG40" s="522"/>
      <c r="FH40" s="522"/>
      <c r="FI40" s="522"/>
      <c r="FJ40" s="522"/>
      <c r="FK40" s="522"/>
      <c r="FL40" s="522"/>
      <c r="FM40" s="522"/>
      <c r="FN40" s="522"/>
      <c r="FO40" s="522"/>
      <c r="FP40" s="522"/>
      <c r="FQ40" s="522"/>
      <c r="FR40" s="522"/>
      <c r="FS40" s="522"/>
      <c r="FT40" s="522"/>
      <c r="FU40" s="522"/>
      <c r="FV40" s="522"/>
      <c r="FW40" s="522"/>
      <c r="FX40" s="522"/>
      <c r="FY40" s="522"/>
      <c r="FZ40" s="522"/>
      <c r="GA40" s="522"/>
      <c r="GB40" s="522"/>
      <c r="GC40" s="522"/>
      <c r="GD40" s="522"/>
      <c r="GE40" s="522"/>
      <c r="GF40" s="522"/>
      <c r="GG40" s="522"/>
      <c r="GH40" s="522"/>
      <c r="GI40" s="522"/>
      <c r="GJ40" s="522"/>
      <c r="GK40" s="522"/>
      <c r="GL40" s="522"/>
      <c r="GM40" s="522"/>
      <c r="GN40" s="522"/>
      <c r="GO40" s="522"/>
      <c r="GP40" s="522"/>
      <c r="GQ40" s="522"/>
      <c r="GR40" s="522"/>
      <c r="GS40" s="522"/>
      <c r="GT40" s="522"/>
      <c r="GU40" s="522"/>
      <c r="GV40" s="522"/>
      <c r="GW40" s="522"/>
      <c r="GX40" s="522"/>
      <c r="GY40" s="522"/>
      <c r="GZ40" s="522"/>
      <c r="HA40" s="522"/>
      <c r="HB40" s="522"/>
      <c r="HC40" s="522"/>
      <c r="HD40" s="522"/>
      <c r="HE40" s="522"/>
      <c r="HF40" s="522"/>
      <c r="HG40" s="522"/>
      <c r="HH40" s="522"/>
      <c r="HI40" s="522"/>
      <c r="HJ40" s="522"/>
      <c r="HK40" s="522"/>
      <c r="HL40" s="522"/>
      <c r="HM40" s="522"/>
      <c r="HN40" s="522"/>
      <c r="HO40" s="522"/>
      <c r="HP40" s="522"/>
      <c r="HQ40" s="522"/>
      <c r="HR40" s="522"/>
      <c r="HS40" s="522"/>
      <c r="HT40" s="522"/>
      <c r="HU40" s="522"/>
      <c r="HV40" s="522"/>
      <c r="HW40" s="522"/>
      <c r="HX40" s="522"/>
      <c r="HY40" s="522"/>
      <c r="HZ40" s="522"/>
      <c r="IA40" s="522"/>
      <c r="IB40" s="522"/>
      <c r="IC40" s="522"/>
      <c r="ID40" s="522"/>
      <c r="IE40" s="522"/>
      <c r="IF40" s="522"/>
      <c r="IG40" s="522"/>
      <c r="IH40" s="522"/>
      <c r="II40" s="522"/>
      <c r="IJ40" s="522"/>
      <c r="IK40" s="522"/>
      <c r="IL40" s="522"/>
      <c r="IM40" s="522"/>
      <c r="IN40" s="522"/>
      <c r="IO40" s="522"/>
      <c r="IP40" s="522"/>
      <c r="IQ40" s="522"/>
      <c r="IR40" s="522"/>
      <c r="IS40" s="522"/>
      <c r="IT40" s="522"/>
      <c r="IU40" s="522"/>
      <c r="IV40" s="522"/>
    </row>
    <row r="41" spans="1:256" ht="12.75">
      <c r="A41" s="606" t="s">
        <v>143</v>
      </c>
      <c r="B41" s="607"/>
      <c r="C41" s="608"/>
      <c r="D41" s="608"/>
      <c r="E41" s="609" t="s">
        <v>207</v>
      </c>
      <c r="F41" s="609"/>
      <c r="G41" s="578"/>
      <c r="H41" s="578"/>
      <c r="I41" s="578"/>
      <c r="J41" s="610"/>
      <c r="K41" s="611"/>
      <c r="L41" s="597"/>
      <c r="M41" s="568">
        <v>0.65</v>
      </c>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2"/>
      <c r="BW41" s="522"/>
      <c r="BX41" s="522"/>
      <c r="BY41" s="522"/>
      <c r="BZ41" s="522"/>
      <c r="CA41" s="522"/>
      <c r="CB41" s="522"/>
      <c r="CC41" s="522"/>
      <c r="CD41" s="522"/>
      <c r="CE41" s="522"/>
      <c r="CF41" s="522"/>
      <c r="CG41" s="522"/>
      <c r="CH41" s="522"/>
      <c r="CI41" s="522"/>
      <c r="CJ41" s="522"/>
      <c r="CK41" s="522"/>
      <c r="CL41" s="522"/>
      <c r="CM41" s="522"/>
      <c r="CN41" s="522"/>
      <c r="CO41" s="522"/>
      <c r="CP41" s="522"/>
      <c r="CQ41" s="522"/>
      <c r="CR41" s="522"/>
      <c r="CS41" s="522"/>
      <c r="CT41" s="522"/>
      <c r="CU41" s="522"/>
      <c r="CV41" s="522"/>
      <c r="CW41" s="522"/>
      <c r="CX41" s="522"/>
      <c r="CY41" s="522"/>
      <c r="CZ41" s="522"/>
      <c r="DA41" s="522"/>
      <c r="DB41" s="522"/>
      <c r="DC41" s="522"/>
      <c r="DD41" s="522"/>
      <c r="DE41" s="522"/>
      <c r="DF41" s="522"/>
      <c r="DG41" s="522"/>
      <c r="DH41" s="522"/>
      <c r="DI41" s="522"/>
      <c r="DJ41" s="522"/>
      <c r="DK41" s="522"/>
      <c r="DL41" s="522"/>
      <c r="DM41" s="522"/>
      <c r="DN41" s="522"/>
      <c r="DO41" s="522"/>
      <c r="DP41" s="522"/>
      <c r="DQ41" s="522"/>
      <c r="DR41" s="522"/>
      <c r="DS41" s="522"/>
      <c r="DT41" s="522"/>
      <c r="DU41" s="522"/>
      <c r="DV41" s="522"/>
      <c r="DW41" s="522"/>
      <c r="DX41" s="522"/>
      <c r="DY41" s="522"/>
      <c r="DZ41" s="522"/>
      <c r="EA41" s="522"/>
      <c r="EB41" s="522"/>
      <c r="EC41" s="522"/>
      <c r="ED41" s="522"/>
      <c r="EE41" s="522"/>
      <c r="EF41" s="522"/>
      <c r="EG41" s="522"/>
      <c r="EH41" s="522"/>
      <c r="EI41" s="522"/>
      <c r="EJ41" s="522"/>
      <c r="EK41" s="522"/>
      <c r="EL41" s="522"/>
      <c r="EM41" s="522"/>
      <c r="EN41" s="522"/>
      <c r="EO41" s="522"/>
      <c r="EP41" s="522"/>
      <c r="EQ41" s="522"/>
      <c r="ER41" s="522"/>
      <c r="ES41" s="522"/>
      <c r="ET41" s="522"/>
      <c r="EU41" s="522"/>
      <c r="EV41" s="522"/>
      <c r="EW41" s="522"/>
      <c r="EX41" s="522"/>
      <c r="EY41" s="522"/>
      <c r="EZ41" s="522"/>
      <c r="FA41" s="522"/>
      <c r="FB41" s="522"/>
      <c r="FC41" s="522"/>
      <c r="FD41" s="522"/>
      <c r="FE41" s="522"/>
      <c r="FF41" s="522"/>
      <c r="FG41" s="522"/>
      <c r="FH41" s="522"/>
      <c r="FI41" s="522"/>
      <c r="FJ41" s="522"/>
      <c r="FK41" s="522"/>
      <c r="FL41" s="522"/>
      <c r="FM41" s="522"/>
      <c r="FN41" s="522"/>
      <c r="FO41" s="522"/>
      <c r="FP41" s="522"/>
      <c r="FQ41" s="522"/>
      <c r="FR41" s="522"/>
      <c r="FS41" s="522"/>
      <c r="FT41" s="522"/>
      <c r="FU41" s="522"/>
      <c r="FV41" s="522"/>
      <c r="FW41" s="522"/>
      <c r="FX41" s="522"/>
      <c r="FY41" s="522"/>
      <c r="FZ41" s="522"/>
      <c r="GA41" s="522"/>
      <c r="GB41" s="522"/>
      <c r="GC41" s="522"/>
      <c r="GD41" s="522"/>
      <c r="GE41" s="522"/>
      <c r="GF41" s="522"/>
      <c r="GG41" s="522"/>
      <c r="GH41" s="522"/>
      <c r="GI41" s="522"/>
      <c r="GJ41" s="522"/>
      <c r="GK41" s="522"/>
      <c r="GL41" s="522"/>
      <c r="GM41" s="522"/>
      <c r="GN41" s="522"/>
      <c r="GO41" s="522"/>
      <c r="GP41" s="522"/>
      <c r="GQ41" s="522"/>
      <c r="GR41" s="522"/>
      <c r="GS41" s="522"/>
      <c r="GT41" s="522"/>
      <c r="GU41" s="522"/>
      <c r="GV41" s="522"/>
      <c r="GW41" s="522"/>
      <c r="GX41" s="522"/>
      <c r="GY41" s="522"/>
      <c r="GZ41" s="522"/>
      <c r="HA41" s="522"/>
      <c r="HB41" s="522"/>
      <c r="HC41" s="522"/>
      <c r="HD41" s="522"/>
      <c r="HE41" s="522"/>
      <c r="HF41" s="522"/>
      <c r="HG41" s="522"/>
      <c r="HH41" s="522"/>
      <c r="HI41" s="522"/>
      <c r="HJ41" s="522"/>
      <c r="HK41" s="522"/>
      <c r="HL41" s="522"/>
      <c r="HM41" s="522"/>
      <c r="HN41" s="522"/>
      <c r="HO41" s="522"/>
      <c r="HP41" s="522"/>
      <c r="HQ41" s="522"/>
      <c r="HR41" s="522"/>
      <c r="HS41" s="522"/>
      <c r="HT41" s="522"/>
      <c r="HU41" s="522"/>
      <c r="HV41" s="522"/>
      <c r="HW41" s="522"/>
      <c r="HX41" s="522"/>
      <c r="HY41" s="522"/>
      <c r="HZ41" s="522"/>
      <c r="IA41" s="522"/>
      <c r="IB41" s="522"/>
      <c r="IC41" s="522"/>
      <c r="ID41" s="522"/>
      <c r="IE41" s="522"/>
      <c r="IF41" s="522"/>
      <c r="IG41" s="522"/>
      <c r="IH41" s="522"/>
      <c r="II41" s="522"/>
      <c r="IJ41" s="522"/>
      <c r="IK41" s="522"/>
      <c r="IL41" s="522"/>
      <c r="IM41" s="522"/>
      <c r="IN41" s="522"/>
      <c r="IO41" s="522"/>
      <c r="IP41" s="522"/>
      <c r="IQ41" s="522"/>
      <c r="IR41" s="522"/>
      <c r="IS41" s="522"/>
      <c r="IT41" s="522"/>
      <c r="IU41" s="522"/>
      <c r="IV41" s="522"/>
    </row>
    <row r="42" spans="1:256" ht="38.25">
      <c r="A42" s="591" t="s">
        <v>144</v>
      </c>
      <c r="B42" s="592"/>
      <c r="C42" s="594" t="s">
        <v>41</v>
      </c>
      <c r="D42" s="594">
        <v>101969</v>
      </c>
      <c r="E42" s="613" t="s">
        <v>208</v>
      </c>
      <c r="F42" s="594" t="s">
        <v>218</v>
      </c>
      <c r="G42" s="565">
        <v>27.5</v>
      </c>
      <c r="H42" s="565">
        <f t="shared" si="3"/>
        <v>86.307</v>
      </c>
      <c r="I42" s="565">
        <f>(H42*$K$10)+H42</f>
        <v>106.03678020000001</v>
      </c>
      <c r="J42" s="566">
        <f>I42*G42</f>
        <v>2916.0114555000005</v>
      </c>
      <c r="K42" s="596"/>
      <c r="L42" s="597"/>
      <c r="M42" s="568">
        <v>0.65</v>
      </c>
      <c r="N42" s="569">
        <v>132.78</v>
      </c>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2"/>
      <c r="BV42" s="522"/>
      <c r="BW42" s="522"/>
      <c r="BX42" s="522"/>
      <c r="BY42" s="522"/>
      <c r="BZ42" s="522"/>
      <c r="CA42" s="522"/>
      <c r="CB42" s="522"/>
      <c r="CC42" s="522"/>
      <c r="CD42" s="522"/>
      <c r="CE42" s="522"/>
      <c r="CF42" s="522"/>
      <c r="CG42" s="522"/>
      <c r="CH42" s="522"/>
      <c r="CI42" s="522"/>
      <c r="CJ42" s="522"/>
      <c r="CK42" s="522"/>
      <c r="CL42" s="522"/>
      <c r="CM42" s="522"/>
      <c r="CN42" s="522"/>
      <c r="CO42" s="522"/>
      <c r="CP42" s="522"/>
      <c r="CQ42" s="522"/>
      <c r="CR42" s="522"/>
      <c r="CS42" s="522"/>
      <c r="CT42" s="522"/>
      <c r="CU42" s="522"/>
      <c r="CV42" s="522"/>
      <c r="CW42" s="522"/>
      <c r="CX42" s="522"/>
      <c r="CY42" s="522"/>
      <c r="CZ42" s="522"/>
      <c r="DA42" s="522"/>
      <c r="DB42" s="522"/>
      <c r="DC42" s="522"/>
      <c r="DD42" s="522"/>
      <c r="DE42" s="522"/>
      <c r="DF42" s="522"/>
      <c r="DG42" s="522"/>
      <c r="DH42" s="522"/>
      <c r="DI42" s="522"/>
      <c r="DJ42" s="522"/>
      <c r="DK42" s="522"/>
      <c r="DL42" s="522"/>
      <c r="DM42" s="522"/>
      <c r="DN42" s="522"/>
      <c r="DO42" s="522"/>
      <c r="DP42" s="522"/>
      <c r="DQ42" s="522"/>
      <c r="DR42" s="522"/>
      <c r="DS42" s="522"/>
      <c r="DT42" s="522"/>
      <c r="DU42" s="522"/>
      <c r="DV42" s="522"/>
      <c r="DW42" s="522"/>
      <c r="DX42" s="522"/>
      <c r="DY42" s="522"/>
      <c r="DZ42" s="522"/>
      <c r="EA42" s="522"/>
      <c r="EB42" s="522"/>
      <c r="EC42" s="522"/>
      <c r="ED42" s="522"/>
      <c r="EE42" s="522"/>
      <c r="EF42" s="522"/>
      <c r="EG42" s="522"/>
      <c r="EH42" s="522"/>
      <c r="EI42" s="522"/>
      <c r="EJ42" s="522"/>
      <c r="EK42" s="522"/>
      <c r="EL42" s="522"/>
      <c r="EM42" s="522"/>
      <c r="EN42" s="522"/>
      <c r="EO42" s="522"/>
      <c r="EP42" s="522"/>
      <c r="EQ42" s="522"/>
      <c r="ER42" s="522"/>
      <c r="ES42" s="522"/>
      <c r="ET42" s="522"/>
      <c r="EU42" s="522"/>
      <c r="EV42" s="522"/>
      <c r="EW42" s="522"/>
      <c r="EX42" s="522"/>
      <c r="EY42" s="522"/>
      <c r="EZ42" s="522"/>
      <c r="FA42" s="522"/>
      <c r="FB42" s="522"/>
      <c r="FC42" s="522"/>
      <c r="FD42" s="522"/>
      <c r="FE42" s="522"/>
      <c r="FF42" s="522"/>
      <c r="FG42" s="522"/>
      <c r="FH42" s="522"/>
      <c r="FI42" s="522"/>
      <c r="FJ42" s="522"/>
      <c r="FK42" s="522"/>
      <c r="FL42" s="522"/>
      <c r="FM42" s="522"/>
      <c r="FN42" s="522"/>
      <c r="FO42" s="522"/>
      <c r="FP42" s="522"/>
      <c r="FQ42" s="522"/>
      <c r="FR42" s="522"/>
      <c r="FS42" s="522"/>
      <c r="FT42" s="522"/>
      <c r="FU42" s="522"/>
      <c r="FV42" s="522"/>
      <c r="FW42" s="522"/>
      <c r="FX42" s="522"/>
      <c r="FY42" s="522"/>
      <c r="FZ42" s="522"/>
      <c r="GA42" s="522"/>
      <c r="GB42" s="522"/>
      <c r="GC42" s="522"/>
      <c r="GD42" s="522"/>
      <c r="GE42" s="522"/>
      <c r="GF42" s="522"/>
      <c r="GG42" s="522"/>
      <c r="GH42" s="522"/>
      <c r="GI42" s="522"/>
      <c r="GJ42" s="522"/>
      <c r="GK42" s="522"/>
      <c r="GL42" s="522"/>
      <c r="GM42" s="522"/>
      <c r="GN42" s="522"/>
      <c r="GO42" s="522"/>
      <c r="GP42" s="522"/>
      <c r="GQ42" s="522"/>
      <c r="GR42" s="522"/>
      <c r="GS42" s="522"/>
      <c r="GT42" s="522"/>
      <c r="GU42" s="522"/>
      <c r="GV42" s="522"/>
      <c r="GW42" s="522"/>
      <c r="GX42" s="522"/>
      <c r="GY42" s="522"/>
      <c r="GZ42" s="522"/>
      <c r="HA42" s="522"/>
      <c r="HB42" s="522"/>
      <c r="HC42" s="522"/>
      <c r="HD42" s="522"/>
      <c r="HE42" s="522"/>
      <c r="HF42" s="522"/>
      <c r="HG42" s="522"/>
      <c r="HH42" s="522"/>
      <c r="HI42" s="522"/>
      <c r="HJ42" s="522"/>
      <c r="HK42" s="522"/>
      <c r="HL42" s="522"/>
      <c r="HM42" s="522"/>
      <c r="HN42" s="522"/>
      <c r="HO42" s="522"/>
      <c r="HP42" s="522"/>
      <c r="HQ42" s="522"/>
      <c r="HR42" s="522"/>
      <c r="HS42" s="522"/>
      <c r="HT42" s="522"/>
      <c r="HU42" s="522"/>
      <c r="HV42" s="522"/>
      <c r="HW42" s="522"/>
      <c r="HX42" s="522"/>
      <c r="HY42" s="522"/>
      <c r="HZ42" s="522"/>
      <c r="IA42" s="522"/>
      <c r="IB42" s="522"/>
      <c r="IC42" s="522"/>
      <c r="ID42" s="522"/>
      <c r="IE42" s="522"/>
      <c r="IF42" s="522"/>
      <c r="IG42" s="522"/>
      <c r="IH42" s="522"/>
      <c r="II42" s="522"/>
      <c r="IJ42" s="522"/>
      <c r="IK42" s="522"/>
      <c r="IL42" s="522"/>
      <c r="IM42" s="522"/>
      <c r="IN42" s="522"/>
      <c r="IO42" s="522"/>
      <c r="IP42" s="522"/>
      <c r="IQ42" s="522"/>
      <c r="IR42" s="522"/>
      <c r="IS42" s="522"/>
      <c r="IT42" s="522"/>
      <c r="IU42" s="522"/>
      <c r="IV42" s="522"/>
    </row>
    <row r="43" spans="1:256" s="612" customFormat="1" ht="51">
      <c r="A43" s="591" t="s">
        <v>145</v>
      </c>
      <c r="B43" s="592"/>
      <c r="C43" s="594" t="s">
        <v>41</v>
      </c>
      <c r="D43" s="594">
        <v>101977</v>
      </c>
      <c r="E43" s="595" t="s">
        <v>209</v>
      </c>
      <c r="F43" s="594" t="s">
        <v>218</v>
      </c>
      <c r="G43" s="565">
        <v>27.5</v>
      </c>
      <c r="H43" s="565">
        <f t="shared" si="3"/>
        <v>139.334</v>
      </c>
      <c r="I43" s="565">
        <f>(H43*$K$10)+H43</f>
        <v>171.1857524</v>
      </c>
      <c r="J43" s="566">
        <f>I43*G43</f>
        <v>4707.608191</v>
      </c>
      <c r="K43" s="596"/>
      <c r="L43" s="597"/>
      <c r="M43" s="568">
        <v>0.65</v>
      </c>
      <c r="N43" s="569">
        <v>214.36</v>
      </c>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2"/>
      <c r="BA43" s="522"/>
      <c r="BB43" s="522"/>
      <c r="BC43" s="522"/>
      <c r="BD43" s="522"/>
      <c r="BE43" s="522"/>
      <c r="BF43" s="522"/>
      <c r="BG43" s="522"/>
      <c r="BH43" s="522"/>
      <c r="BI43" s="522"/>
      <c r="BJ43" s="522"/>
      <c r="BK43" s="522"/>
      <c r="BL43" s="522"/>
      <c r="BM43" s="522"/>
      <c r="BN43" s="522"/>
      <c r="BO43" s="522"/>
      <c r="BP43" s="522"/>
      <c r="BQ43" s="522"/>
      <c r="BR43" s="522"/>
      <c r="BS43" s="522"/>
      <c r="BT43" s="522"/>
      <c r="BU43" s="522"/>
      <c r="BV43" s="522"/>
      <c r="BW43" s="522"/>
      <c r="BX43" s="522"/>
      <c r="BY43" s="522"/>
      <c r="BZ43" s="522"/>
      <c r="CA43" s="522"/>
      <c r="CB43" s="522"/>
      <c r="CC43" s="522"/>
      <c r="CD43" s="522"/>
      <c r="CE43" s="522"/>
      <c r="CF43" s="522"/>
      <c r="CG43" s="522"/>
      <c r="CH43" s="522"/>
      <c r="CI43" s="522"/>
      <c r="CJ43" s="522"/>
      <c r="CK43" s="522"/>
      <c r="CL43" s="522"/>
      <c r="CM43" s="522"/>
      <c r="CN43" s="522"/>
      <c r="CO43" s="522"/>
      <c r="CP43" s="522"/>
      <c r="CQ43" s="522"/>
      <c r="CR43" s="522"/>
      <c r="CS43" s="522"/>
      <c r="CT43" s="522"/>
      <c r="CU43" s="522"/>
      <c r="CV43" s="522"/>
      <c r="CW43" s="522"/>
      <c r="CX43" s="522"/>
      <c r="CY43" s="522"/>
      <c r="CZ43" s="522"/>
      <c r="DA43" s="522"/>
      <c r="DB43" s="522"/>
      <c r="DC43" s="522"/>
      <c r="DD43" s="522"/>
      <c r="DE43" s="522"/>
      <c r="DF43" s="522"/>
      <c r="DG43" s="522"/>
      <c r="DH43" s="522"/>
      <c r="DI43" s="522"/>
      <c r="DJ43" s="522"/>
      <c r="DK43" s="522"/>
      <c r="DL43" s="522"/>
      <c r="DM43" s="522"/>
      <c r="DN43" s="522"/>
      <c r="DO43" s="522"/>
      <c r="DP43" s="522"/>
      <c r="DQ43" s="522"/>
      <c r="DR43" s="522"/>
      <c r="DS43" s="522"/>
      <c r="DT43" s="522"/>
      <c r="DU43" s="522"/>
      <c r="DV43" s="522"/>
      <c r="DW43" s="522"/>
      <c r="DX43" s="522"/>
      <c r="DY43" s="522"/>
      <c r="DZ43" s="522"/>
      <c r="EA43" s="522"/>
      <c r="EB43" s="522"/>
      <c r="EC43" s="522"/>
      <c r="ED43" s="522"/>
      <c r="EE43" s="522"/>
      <c r="EF43" s="522"/>
      <c r="EG43" s="522"/>
      <c r="EH43" s="522"/>
      <c r="EI43" s="522"/>
      <c r="EJ43" s="522"/>
      <c r="EK43" s="522"/>
      <c r="EL43" s="522"/>
      <c r="EM43" s="522"/>
      <c r="EN43" s="522"/>
      <c r="EO43" s="522"/>
      <c r="EP43" s="522"/>
      <c r="EQ43" s="522"/>
      <c r="ER43" s="522"/>
      <c r="ES43" s="522"/>
      <c r="ET43" s="522"/>
      <c r="EU43" s="522"/>
      <c r="EV43" s="522"/>
      <c r="EW43" s="522"/>
      <c r="EX43" s="522"/>
      <c r="EY43" s="522"/>
      <c r="EZ43" s="522"/>
      <c r="FA43" s="522"/>
      <c r="FB43" s="522"/>
      <c r="FC43" s="522"/>
      <c r="FD43" s="522"/>
      <c r="FE43" s="522"/>
      <c r="FF43" s="522"/>
      <c r="FG43" s="522"/>
      <c r="FH43" s="522"/>
      <c r="FI43" s="522"/>
      <c r="FJ43" s="522"/>
      <c r="FK43" s="522"/>
      <c r="FL43" s="522"/>
      <c r="FM43" s="522"/>
      <c r="FN43" s="522"/>
      <c r="FO43" s="522"/>
      <c r="FP43" s="522"/>
      <c r="FQ43" s="522"/>
      <c r="FR43" s="522"/>
      <c r="FS43" s="522"/>
      <c r="FT43" s="522"/>
      <c r="FU43" s="522"/>
      <c r="FV43" s="522"/>
      <c r="FW43" s="522"/>
      <c r="FX43" s="522"/>
      <c r="FY43" s="522"/>
      <c r="FZ43" s="522"/>
      <c r="GA43" s="522"/>
      <c r="GB43" s="522"/>
      <c r="GC43" s="522"/>
      <c r="GD43" s="522"/>
      <c r="GE43" s="522"/>
      <c r="GF43" s="522"/>
      <c r="GG43" s="522"/>
      <c r="GH43" s="522"/>
      <c r="GI43" s="522"/>
      <c r="GJ43" s="522"/>
      <c r="GK43" s="522"/>
      <c r="GL43" s="522"/>
      <c r="GM43" s="522"/>
      <c r="GN43" s="522"/>
      <c r="GO43" s="522"/>
      <c r="GP43" s="522"/>
      <c r="GQ43" s="522"/>
      <c r="GR43" s="522"/>
      <c r="GS43" s="522"/>
      <c r="GT43" s="522"/>
      <c r="GU43" s="522"/>
      <c r="GV43" s="522"/>
      <c r="GW43" s="522"/>
      <c r="GX43" s="522"/>
      <c r="GY43" s="522"/>
      <c r="GZ43" s="522"/>
      <c r="HA43" s="522"/>
      <c r="HB43" s="522"/>
      <c r="HC43" s="522"/>
      <c r="HD43" s="522"/>
      <c r="HE43" s="522"/>
      <c r="HF43" s="522"/>
      <c r="HG43" s="522"/>
      <c r="HH43" s="522"/>
      <c r="HI43" s="522"/>
      <c r="HJ43" s="522"/>
      <c r="HK43" s="522"/>
      <c r="HL43" s="522"/>
      <c r="HM43" s="522"/>
      <c r="HN43" s="522"/>
      <c r="HO43" s="522"/>
      <c r="HP43" s="522"/>
      <c r="HQ43" s="522"/>
      <c r="HR43" s="522"/>
      <c r="HS43" s="522"/>
      <c r="HT43" s="522"/>
      <c r="HU43" s="522"/>
      <c r="HV43" s="522"/>
      <c r="HW43" s="522"/>
      <c r="HX43" s="522"/>
      <c r="HY43" s="522"/>
      <c r="HZ43" s="522"/>
      <c r="IA43" s="522"/>
      <c r="IB43" s="522"/>
      <c r="IC43" s="522"/>
      <c r="ID43" s="522"/>
      <c r="IE43" s="522"/>
      <c r="IF43" s="522"/>
      <c r="IG43" s="522"/>
      <c r="IH43" s="522"/>
      <c r="II43" s="522"/>
      <c r="IJ43" s="522"/>
      <c r="IK43" s="522"/>
      <c r="IL43" s="522"/>
      <c r="IM43" s="522"/>
      <c r="IN43" s="522"/>
      <c r="IO43" s="522"/>
      <c r="IP43" s="522"/>
      <c r="IQ43" s="522"/>
      <c r="IR43" s="522"/>
      <c r="IS43" s="522"/>
      <c r="IT43" s="522"/>
      <c r="IU43" s="522"/>
      <c r="IV43" s="522"/>
    </row>
    <row r="44" spans="1:16" ht="38.25">
      <c r="A44" s="591" t="s">
        <v>146</v>
      </c>
      <c r="B44" s="562"/>
      <c r="C44" s="563" t="s">
        <v>41</v>
      </c>
      <c r="D44" s="563">
        <v>95969</v>
      </c>
      <c r="E44" s="614" t="s">
        <v>210</v>
      </c>
      <c r="F44" s="594" t="s">
        <v>214</v>
      </c>
      <c r="G44" s="565">
        <v>3</v>
      </c>
      <c r="H44" s="565">
        <f t="shared" si="3"/>
        <v>1683.6885</v>
      </c>
      <c r="I44" s="565">
        <f>(H44*$K$10)+H44</f>
        <v>2068.5796910999998</v>
      </c>
      <c r="J44" s="566">
        <f>I44*G44</f>
        <v>6205.739073299999</v>
      </c>
      <c r="K44" s="584"/>
      <c r="L44" s="597"/>
      <c r="M44" s="568">
        <v>0.65</v>
      </c>
      <c r="N44" s="569">
        <v>2590.29</v>
      </c>
      <c r="O44" s="522"/>
      <c r="P44" s="522"/>
    </row>
    <row r="45" spans="1:16" ht="25.5">
      <c r="A45" s="591" t="s">
        <v>211</v>
      </c>
      <c r="B45" s="562"/>
      <c r="C45" s="563" t="s">
        <v>17</v>
      </c>
      <c r="D45" s="563" t="s">
        <v>32</v>
      </c>
      <c r="E45" s="613" t="s">
        <v>33</v>
      </c>
      <c r="F45" s="594" t="s">
        <v>329</v>
      </c>
      <c r="G45" s="565">
        <v>226.6</v>
      </c>
      <c r="H45" s="565">
        <f t="shared" si="3"/>
        <v>8.424000000000001</v>
      </c>
      <c r="I45" s="565">
        <f>(H45*$K$10)+H45</f>
        <v>10.349726400000002</v>
      </c>
      <c r="J45" s="566">
        <f>I45*G45</f>
        <v>2345.2480022400005</v>
      </c>
      <c r="K45" s="584"/>
      <c r="L45" s="597"/>
      <c r="M45" s="568">
        <v>0.65</v>
      </c>
      <c r="N45" s="569">
        <v>12.96</v>
      </c>
      <c r="O45" s="522"/>
      <c r="P45" s="522"/>
    </row>
    <row r="46" spans="1:16" ht="38.25">
      <c r="A46" s="591" t="s">
        <v>212</v>
      </c>
      <c r="B46" s="562"/>
      <c r="C46" s="563" t="s">
        <v>17</v>
      </c>
      <c r="D46" s="563" t="s">
        <v>45</v>
      </c>
      <c r="E46" s="613" t="s">
        <v>37</v>
      </c>
      <c r="F46" s="594" t="s">
        <v>214</v>
      </c>
      <c r="G46" s="565">
        <v>3</v>
      </c>
      <c r="H46" s="565">
        <f t="shared" si="3"/>
        <v>273.611</v>
      </c>
      <c r="I46" s="565">
        <f>(H46*$K$10)+H46</f>
        <v>336.1584746</v>
      </c>
      <c r="J46" s="566">
        <f>I46*G46</f>
        <v>1008.4754237999999</v>
      </c>
      <c r="K46" s="584"/>
      <c r="L46" s="597"/>
      <c r="M46" s="568">
        <v>0.65</v>
      </c>
      <c r="N46" s="569">
        <v>420.94</v>
      </c>
      <c r="O46" s="522"/>
      <c r="P46" s="522"/>
    </row>
    <row r="47" spans="1:13" s="581" customFormat="1" ht="12.75">
      <c r="A47" s="573"/>
      <c r="B47" s="574"/>
      <c r="C47" s="575"/>
      <c r="D47" s="575"/>
      <c r="E47" s="576" t="s">
        <v>23</v>
      </c>
      <c r="F47" s="577"/>
      <c r="G47" s="578"/>
      <c r="H47" s="578"/>
      <c r="I47" s="578"/>
      <c r="J47" s="579">
        <f>SUM(J26:J46)</f>
        <v>201047.39456950204</v>
      </c>
      <c r="K47" s="580">
        <f>K22+J47</f>
        <v>225855.79711097913</v>
      </c>
      <c r="L47" s="597"/>
      <c r="M47" s="568">
        <v>0.65</v>
      </c>
    </row>
    <row r="48" spans="1:13" s="581" customFormat="1" ht="12.75">
      <c r="A48" s="615"/>
      <c r="B48" s="570"/>
      <c r="C48" s="571"/>
      <c r="D48" s="571"/>
      <c r="E48" s="616"/>
      <c r="F48" s="617"/>
      <c r="G48" s="565"/>
      <c r="H48" s="565"/>
      <c r="I48" s="565"/>
      <c r="J48" s="618"/>
      <c r="K48" s="619"/>
      <c r="L48" s="597"/>
      <c r="M48" s="568">
        <v>0.65</v>
      </c>
    </row>
    <row r="49" spans="1:16" ht="12.75">
      <c r="A49" s="585">
        <v>3</v>
      </c>
      <c r="B49" s="620"/>
      <c r="C49" s="587"/>
      <c r="D49" s="587"/>
      <c r="E49" s="588" t="s">
        <v>147</v>
      </c>
      <c r="F49" s="587"/>
      <c r="G49" s="578"/>
      <c r="H49" s="578"/>
      <c r="I49" s="578"/>
      <c r="J49" s="610"/>
      <c r="K49" s="580"/>
      <c r="L49" s="597"/>
      <c r="M49" s="568">
        <v>0.65</v>
      </c>
      <c r="N49" s="569"/>
      <c r="O49" s="522"/>
      <c r="P49" s="522"/>
    </row>
    <row r="50" spans="1:16" ht="58.5" customHeight="1">
      <c r="A50" s="621" t="s">
        <v>52</v>
      </c>
      <c r="B50" s="622"/>
      <c r="C50" s="623" t="s">
        <v>17</v>
      </c>
      <c r="D50" s="624" t="s">
        <v>290</v>
      </c>
      <c r="E50" s="625" t="s">
        <v>289</v>
      </c>
      <c r="F50" s="623" t="s">
        <v>218</v>
      </c>
      <c r="G50" s="626">
        <v>660</v>
      </c>
      <c r="H50" s="626">
        <v>204.48</v>
      </c>
      <c r="I50" s="626">
        <f>(H50*$K$10)+H50</f>
        <v>251.22412799999998</v>
      </c>
      <c r="J50" s="627">
        <f>I50*G50</f>
        <v>165807.92448</v>
      </c>
      <c r="K50" s="628"/>
      <c r="L50" s="597"/>
      <c r="M50" s="568">
        <v>0.65</v>
      </c>
      <c r="N50" s="569">
        <v>38.52</v>
      </c>
      <c r="O50" s="522"/>
      <c r="P50" s="522"/>
    </row>
    <row r="51" spans="1:13" s="581" customFormat="1" ht="12.75">
      <c r="A51" s="629"/>
      <c r="B51" s="620"/>
      <c r="C51" s="587"/>
      <c r="D51" s="587"/>
      <c r="E51" s="588" t="s">
        <v>53</v>
      </c>
      <c r="F51" s="587"/>
      <c r="G51" s="578"/>
      <c r="H51" s="578"/>
      <c r="I51" s="578"/>
      <c r="J51" s="579">
        <f>SUM(J50:J50)</f>
        <v>165807.92448</v>
      </c>
      <c r="K51" s="580">
        <f>K47+J51</f>
        <v>391663.72159097914</v>
      </c>
      <c r="M51" s="568">
        <v>0.65</v>
      </c>
    </row>
    <row r="52" spans="1:13" s="581" customFormat="1" ht="12.75">
      <c r="A52" s="561"/>
      <c r="B52" s="562"/>
      <c r="C52" s="563"/>
      <c r="D52" s="563"/>
      <c r="E52" s="630"/>
      <c r="F52" s="563"/>
      <c r="G52" s="565"/>
      <c r="H52" s="565"/>
      <c r="I52" s="565"/>
      <c r="J52" s="618"/>
      <c r="K52" s="619"/>
      <c r="M52" s="568">
        <v>0.65</v>
      </c>
    </row>
    <row r="53" spans="1:16" ht="12.75">
      <c r="A53" s="585">
        <v>4</v>
      </c>
      <c r="B53" s="586"/>
      <c r="C53" s="587"/>
      <c r="D53" s="587"/>
      <c r="E53" s="588" t="s">
        <v>215</v>
      </c>
      <c r="F53" s="587"/>
      <c r="G53" s="578"/>
      <c r="H53" s="578"/>
      <c r="I53" s="578"/>
      <c r="J53" s="631"/>
      <c r="K53" s="632"/>
      <c r="L53" s="522"/>
      <c r="M53" s="568">
        <v>0.65</v>
      </c>
      <c r="N53" s="522"/>
      <c r="O53" s="522"/>
      <c r="P53" s="522"/>
    </row>
    <row r="54" spans="1:16" s="641" customFormat="1" ht="12.75">
      <c r="A54" s="621" t="s">
        <v>54</v>
      </c>
      <c r="B54" s="633"/>
      <c r="C54" s="634" t="s">
        <v>17</v>
      </c>
      <c r="D54" s="634" t="s">
        <v>216</v>
      </c>
      <c r="E54" s="635" t="s">
        <v>217</v>
      </c>
      <c r="F54" s="636" t="s">
        <v>218</v>
      </c>
      <c r="G54" s="626">
        <v>660</v>
      </c>
      <c r="H54" s="626">
        <f>N54*M54</f>
        <v>28.4765</v>
      </c>
      <c r="I54" s="626">
        <f>(H54*$K$10)+H54</f>
        <v>34.9862279</v>
      </c>
      <c r="J54" s="637">
        <f>I54*G54</f>
        <v>23090.910414</v>
      </c>
      <c r="K54" s="638"/>
      <c r="L54" s="639"/>
      <c r="M54" s="568">
        <v>0.65</v>
      </c>
      <c r="N54" s="640">
        <v>43.81</v>
      </c>
      <c r="O54" s="639"/>
      <c r="P54" s="639"/>
    </row>
    <row r="55" spans="1:16" s="641" customFormat="1" ht="25.5">
      <c r="A55" s="561" t="s">
        <v>148</v>
      </c>
      <c r="B55" s="562"/>
      <c r="C55" s="563" t="s">
        <v>17</v>
      </c>
      <c r="D55" s="563" t="s">
        <v>160</v>
      </c>
      <c r="E55" s="642" t="s">
        <v>262</v>
      </c>
      <c r="F55" s="594" t="s">
        <v>218</v>
      </c>
      <c r="G55" s="565">
        <v>660</v>
      </c>
      <c r="H55" s="565">
        <f>N55*M55</f>
        <v>7.852</v>
      </c>
      <c r="I55" s="565">
        <f>(H55*$K$10)+H55</f>
        <v>9.6469672</v>
      </c>
      <c r="J55" s="643">
        <f>I55*G55</f>
        <v>6366.9983520000005</v>
      </c>
      <c r="K55" s="596"/>
      <c r="L55" s="639"/>
      <c r="M55" s="568">
        <v>0.65</v>
      </c>
      <c r="N55" s="640">
        <v>12.08</v>
      </c>
      <c r="O55" s="639"/>
      <c r="P55" s="639"/>
    </row>
    <row r="56" spans="1:16" s="641" customFormat="1" ht="38.25">
      <c r="A56" s="561" t="s">
        <v>149</v>
      </c>
      <c r="B56" s="562"/>
      <c r="C56" s="563" t="s">
        <v>17</v>
      </c>
      <c r="D56" s="563" t="s">
        <v>224</v>
      </c>
      <c r="E56" s="642" t="s">
        <v>292</v>
      </c>
      <c r="F56" s="594" t="s">
        <v>218</v>
      </c>
      <c r="G56" s="565">
        <v>660</v>
      </c>
      <c r="H56" s="565">
        <f>N56*M56</f>
        <v>8.307</v>
      </c>
      <c r="I56" s="565">
        <f>(H56*$K$10)+H56</f>
        <v>10.2059802</v>
      </c>
      <c r="J56" s="643">
        <f>I56*G56</f>
        <v>6735.946932000001</v>
      </c>
      <c r="K56" s="596"/>
      <c r="L56" s="639"/>
      <c r="M56" s="568">
        <v>0.65</v>
      </c>
      <c r="N56" s="640">
        <v>12.78</v>
      </c>
      <c r="O56" s="639"/>
      <c r="P56" s="639"/>
    </row>
    <row r="57" spans="1:13" s="581" customFormat="1" ht="12.75">
      <c r="A57" s="629"/>
      <c r="B57" s="620"/>
      <c r="C57" s="587"/>
      <c r="D57" s="587"/>
      <c r="E57" s="588" t="s">
        <v>53</v>
      </c>
      <c r="F57" s="587"/>
      <c r="G57" s="578"/>
      <c r="H57" s="578"/>
      <c r="I57" s="578"/>
      <c r="J57" s="579">
        <f>SUM(J54:J56)</f>
        <v>36193.855698</v>
      </c>
      <c r="K57" s="580">
        <f>K51+J57</f>
        <v>427857.57728897914</v>
      </c>
      <c r="M57" s="568">
        <v>0.65</v>
      </c>
    </row>
    <row r="58" spans="1:16" ht="12.75" customHeight="1">
      <c r="A58" s="644"/>
      <c r="B58" s="645"/>
      <c r="C58" s="645"/>
      <c r="D58" s="645"/>
      <c r="E58" s="645"/>
      <c r="F58" s="645"/>
      <c r="G58" s="645"/>
      <c r="H58" s="565"/>
      <c r="I58" s="645"/>
      <c r="J58" s="645"/>
      <c r="K58" s="646"/>
      <c r="L58" s="522"/>
      <c r="M58" s="568">
        <v>0.65</v>
      </c>
      <c r="N58" s="522"/>
      <c r="O58" s="522"/>
      <c r="P58" s="522"/>
    </row>
    <row r="59" spans="1:16" ht="12.75">
      <c r="A59" s="585">
        <v>5</v>
      </c>
      <c r="B59" s="586"/>
      <c r="C59" s="587"/>
      <c r="D59" s="587"/>
      <c r="E59" s="588" t="s">
        <v>56</v>
      </c>
      <c r="F59" s="587"/>
      <c r="G59" s="578"/>
      <c r="H59" s="578"/>
      <c r="I59" s="578"/>
      <c r="J59" s="631"/>
      <c r="K59" s="632"/>
      <c r="L59" s="522"/>
      <c r="M59" s="568">
        <v>0.65</v>
      </c>
      <c r="N59" s="522"/>
      <c r="O59" s="522"/>
      <c r="P59" s="522"/>
    </row>
    <row r="60" spans="1:16" ht="38.25">
      <c r="A60" s="561" t="s">
        <v>57</v>
      </c>
      <c r="B60" s="600"/>
      <c r="C60" s="593" t="s">
        <v>17</v>
      </c>
      <c r="D60" s="593" t="s">
        <v>58</v>
      </c>
      <c r="E60" s="604" t="s">
        <v>59</v>
      </c>
      <c r="F60" s="594" t="s">
        <v>218</v>
      </c>
      <c r="G60" s="565">
        <v>37.89</v>
      </c>
      <c r="H60" s="565">
        <f>N60*M60</f>
        <v>11.1605</v>
      </c>
      <c r="I60" s="565">
        <f>(H60*$K$10)+H60</f>
        <v>13.7117903</v>
      </c>
      <c r="J60" s="566">
        <f>I60*G60</f>
        <v>519.539734467</v>
      </c>
      <c r="K60" s="567"/>
      <c r="L60" s="522"/>
      <c r="M60" s="568">
        <v>0.65</v>
      </c>
      <c r="N60" s="569">
        <v>17.17</v>
      </c>
      <c r="O60" s="522"/>
      <c r="P60" s="522"/>
    </row>
    <row r="61" spans="1:16" ht="27" customHeight="1">
      <c r="A61" s="561" t="s">
        <v>60</v>
      </c>
      <c r="B61" s="600"/>
      <c r="C61" s="563" t="s">
        <v>17</v>
      </c>
      <c r="D61" s="562" t="s">
        <v>234</v>
      </c>
      <c r="E61" s="605" t="s">
        <v>233</v>
      </c>
      <c r="F61" s="563" t="s">
        <v>328</v>
      </c>
      <c r="G61" s="565">
        <v>4</v>
      </c>
      <c r="H61" s="565">
        <f>N61*M61</f>
        <v>5.5445</v>
      </c>
      <c r="I61" s="565">
        <f>(H61*$K$10)+H61</f>
        <v>6.8119727</v>
      </c>
      <c r="J61" s="566">
        <f>I61*G61</f>
        <v>27.2478908</v>
      </c>
      <c r="K61" s="567"/>
      <c r="L61" s="522"/>
      <c r="M61" s="568">
        <v>0.65</v>
      </c>
      <c r="N61" s="569">
        <v>8.53</v>
      </c>
      <c r="O61" s="522"/>
      <c r="P61" s="522"/>
    </row>
    <row r="62" spans="1:13" s="581" customFormat="1" ht="12.75">
      <c r="A62" s="629"/>
      <c r="B62" s="620"/>
      <c r="C62" s="587"/>
      <c r="D62" s="587"/>
      <c r="E62" s="588" t="s">
        <v>53</v>
      </c>
      <c r="F62" s="587"/>
      <c r="G62" s="578"/>
      <c r="H62" s="578"/>
      <c r="I62" s="578"/>
      <c r="J62" s="579">
        <f>SUM(J60:J61)</f>
        <v>546.7876252670001</v>
      </c>
      <c r="K62" s="580">
        <f>K57+J62</f>
        <v>428404.36491424614</v>
      </c>
      <c r="M62" s="568">
        <v>0.65</v>
      </c>
    </row>
    <row r="63" spans="1:16" ht="12.75">
      <c r="A63" s="647"/>
      <c r="B63" s="648"/>
      <c r="C63" s="648"/>
      <c r="D63" s="648"/>
      <c r="E63" s="648"/>
      <c r="F63" s="648"/>
      <c r="G63" s="648"/>
      <c r="H63" s="565"/>
      <c r="I63" s="648"/>
      <c r="J63" s="648"/>
      <c r="K63" s="649"/>
      <c r="L63" s="522"/>
      <c r="M63" s="568">
        <v>0.65</v>
      </c>
      <c r="N63" s="522"/>
      <c r="O63" s="522"/>
      <c r="P63" s="522"/>
    </row>
    <row r="64" spans="1:16" ht="12.75">
      <c r="A64" s="585">
        <v>6</v>
      </c>
      <c r="B64" s="586"/>
      <c r="C64" s="587"/>
      <c r="D64" s="587"/>
      <c r="E64" s="588" t="s">
        <v>61</v>
      </c>
      <c r="F64" s="587"/>
      <c r="G64" s="578"/>
      <c r="H64" s="578"/>
      <c r="I64" s="578"/>
      <c r="J64" s="631"/>
      <c r="K64" s="632"/>
      <c r="L64" s="522"/>
      <c r="M64" s="568">
        <v>0.65</v>
      </c>
      <c r="N64" s="522"/>
      <c r="O64" s="522"/>
      <c r="P64" s="522"/>
    </row>
    <row r="65" spans="1:16" ht="38.25">
      <c r="A65" s="561" t="s">
        <v>62</v>
      </c>
      <c r="B65" s="562"/>
      <c r="C65" s="563" t="s">
        <v>17</v>
      </c>
      <c r="D65" s="563" t="s">
        <v>63</v>
      </c>
      <c r="E65" s="642" t="s">
        <v>64</v>
      </c>
      <c r="F65" s="594" t="s">
        <v>218</v>
      </c>
      <c r="G65" s="650">
        <v>191.724</v>
      </c>
      <c r="H65" s="565">
        <f>N65*M65</f>
        <v>32.5715</v>
      </c>
      <c r="I65" s="565">
        <f>(H65*$K$10)+H65</f>
        <v>40.0173449</v>
      </c>
      <c r="J65" s="566">
        <f>I65*G65</f>
        <v>7672.285433607599</v>
      </c>
      <c r="K65" s="567"/>
      <c r="L65" s="522"/>
      <c r="M65" s="568">
        <v>0.65</v>
      </c>
      <c r="N65" s="569">
        <v>50.11</v>
      </c>
      <c r="O65" s="522"/>
      <c r="P65" s="522"/>
    </row>
    <row r="66" spans="1:16" ht="48" customHeight="1">
      <c r="A66" s="561" t="s">
        <v>158</v>
      </c>
      <c r="B66" s="562"/>
      <c r="C66" s="563" t="s">
        <v>17</v>
      </c>
      <c r="D66" s="563" t="s">
        <v>228</v>
      </c>
      <c r="E66" s="642" t="s">
        <v>227</v>
      </c>
      <c r="F66" s="594" t="s">
        <v>218</v>
      </c>
      <c r="G66" s="650">
        <v>272.205</v>
      </c>
      <c r="H66" s="565">
        <f>N66*M66</f>
        <v>39.2405</v>
      </c>
      <c r="I66" s="565">
        <f>(H66*$K$10)+H66</f>
        <v>48.2108783</v>
      </c>
      <c r="J66" s="566">
        <f>I66*G66</f>
        <v>13123.242127651498</v>
      </c>
      <c r="K66" s="567"/>
      <c r="L66" s="522"/>
      <c r="M66" s="568">
        <v>0.65</v>
      </c>
      <c r="N66" s="569">
        <v>60.37</v>
      </c>
      <c r="O66" s="522"/>
      <c r="P66" s="522"/>
    </row>
    <row r="67" spans="1:16" ht="51">
      <c r="A67" s="561" t="s">
        <v>159</v>
      </c>
      <c r="B67" s="562"/>
      <c r="C67" s="563" t="s">
        <v>17</v>
      </c>
      <c r="D67" s="651" t="s">
        <v>229</v>
      </c>
      <c r="E67" s="652" t="s">
        <v>230</v>
      </c>
      <c r="F67" s="594" t="s">
        <v>218</v>
      </c>
      <c r="G67" s="650">
        <v>31.63</v>
      </c>
      <c r="H67" s="565">
        <f>N67*M67</f>
        <v>57.603</v>
      </c>
      <c r="I67" s="565">
        <f>(H67*$K$10)+H67</f>
        <v>70.7710458</v>
      </c>
      <c r="J67" s="566">
        <f>I67*G67</f>
        <v>2238.488178654</v>
      </c>
      <c r="K67" s="567"/>
      <c r="L67" s="522"/>
      <c r="M67" s="568">
        <v>0.65</v>
      </c>
      <c r="N67" s="569">
        <v>88.62</v>
      </c>
      <c r="O67" s="522"/>
      <c r="P67" s="522"/>
    </row>
    <row r="68" spans="1:16" ht="51">
      <c r="A68" s="561" t="s">
        <v>162</v>
      </c>
      <c r="B68" s="562"/>
      <c r="C68" s="563" t="s">
        <v>17</v>
      </c>
      <c r="D68" s="653" t="s">
        <v>231</v>
      </c>
      <c r="E68" s="654" t="s">
        <v>232</v>
      </c>
      <c r="F68" s="594" t="s">
        <v>218</v>
      </c>
      <c r="G68" s="651">
        <v>26.87</v>
      </c>
      <c r="H68" s="565">
        <f>N68*M68</f>
        <v>51.3305</v>
      </c>
      <c r="I68" s="565">
        <f>(H68*$K$10)+H68</f>
        <v>63.0646523</v>
      </c>
      <c r="J68" s="566">
        <f>I68*G68</f>
        <v>1694.547207301</v>
      </c>
      <c r="K68" s="567"/>
      <c r="L68" s="522"/>
      <c r="M68" s="568">
        <v>0.65</v>
      </c>
      <c r="N68" s="569">
        <v>78.97</v>
      </c>
      <c r="O68" s="522"/>
      <c r="P68" s="522"/>
    </row>
    <row r="69" spans="1:13" s="581" customFormat="1" ht="12.75">
      <c r="A69" s="629"/>
      <c r="B69" s="620"/>
      <c r="C69" s="587"/>
      <c r="D69" s="587"/>
      <c r="E69" s="588" t="s">
        <v>53</v>
      </c>
      <c r="F69" s="587"/>
      <c r="G69" s="578"/>
      <c r="H69" s="578"/>
      <c r="I69" s="578"/>
      <c r="J69" s="579">
        <f>SUM(J65:J68)</f>
        <v>24728.562947214094</v>
      </c>
      <c r="K69" s="580">
        <f>K62+J69</f>
        <v>453132.92786146025</v>
      </c>
      <c r="M69" s="568">
        <v>0.65</v>
      </c>
    </row>
    <row r="70" spans="1:16" ht="12.75" customHeight="1">
      <c r="A70" s="655"/>
      <c r="B70" s="656"/>
      <c r="C70" s="614"/>
      <c r="D70" s="614"/>
      <c r="E70" s="614"/>
      <c r="F70" s="614"/>
      <c r="G70" s="565"/>
      <c r="H70" s="565"/>
      <c r="I70" s="565"/>
      <c r="J70" s="614"/>
      <c r="K70" s="657"/>
      <c r="L70" s="522"/>
      <c r="M70" s="568">
        <v>0.65</v>
      </c>
      <c r="N70" s="522"/>
      <c r="O70" s="522"/>
      <c r="P70" s="522"/>
    </row>
    <row r="71" spans="1:16" ht="12.75">
      <c r="A71" s="585">
        <v>7</v>
      </c>
      <c r="B71" s="586"/>
      <c r="C71" s="587"/>
      <c r="D71" s="587"/>
      <c r="E71" s="588" t="s">
        <v>67</v>
      </c>
      <c r="F71" s="587"/>
      <c r="G71" s="578"/>
      <c r="H71" s="578"/>
      <c r="I71" s="578"/>
      <c r="J71" s="631"/>
      <c r="K71" s="632"/>
      <c r="L71" s="522"/>
      <c r="M71" s="568">
        <v>0.65</v>
      </c>
      <c r="N71" s="522"/>
      <c r="O71" s="522"/>
      <c r="P71" s="522"/>
    </row>
    <row r="72" spans="1:16" ht="38.25">
      <c r="A72" s="561" t="s">
        <v>65</v>
      </c>
      <c r="B72" s="562"/>
      <c r="C72" s="563" t="s">
        <v>17</v>
      </c>
      <c r="D72" s="593" t="s">
        <v>70</v>
      </c>
      <c r="E72" s="658" t="s">
        <v>71</v>
      </c>
      <c r="F72" s="594" t="s">
        <v>218</v>
      </c>
      <c r="G72" s="650">
        <v>1160.82</v>
      </c>
      <c r="H72" s="565">
        <f aca="true" t="shared" si="4" ref="H72:H117">N72*M72</f>
        <v>6.272500000000001</v>
      </c>
      <c r="I72" s="565">
        <f aca="true" t="shared" si="5" ref="I72:I78">(H72*$K$10)+H72</f>
        <v>7.706393500000001</v>
      </c>
      <c r="J72" s="566">
        <f aca="true" t="shared" si="6" ref="J72:J78">I72*G72</f>
        <v>8945.735702670001</v>
      </c>
      <c r="K72" s="567"/>
      <c r="L72" s="522"/>
      <c r="M72" s="568">
        <v>0.65</v>
      </c>
      <c r="N72" s="569">
        <v>9.65</v>
      </c>
      <c r="O72" s="522"/>
      <c r="P72" s="522"/>
    </row>
    <row r="73" spans="1:16" s="660" customFormat="1" ht="38.25">
      <c r="A73" s="561" t="s">
        <v>66</v>
      </c>
      <c r="B73" s="562"/>
      <c r="C73" s="563" t="s">
        <v>17</v>
      </c>
      <c r="D73" s="563" t="s">
        <v>73</v>
      </c>
      <c r="E73" s="642" t="s">
        <v>74</v>
      </c>
      <c r="F73" s="594" t="s">
        <v>218</v>
      </c>
      <c r="G73" s="650">
        <v>898.43</v>
      </c>
      <c r="H73" s="565">
        <f t="shared" si="4"/>
        <v>15.580499999999999</v>
      </c>
      <c r="I73" s="565">
        <f t="shared" si="5"/>
        <v>19.142202299999997</v>
      </c>
      <c r="J73" s="566">
        <f t="shared" si="6"/>
        <v>17197.928812388996</v>
      </c>
      <c r="K73" s="567"/>
      <c r="L73" s="659"/>
      <c r="M73" s="568">
        <v>0.65</v>
      </c>
      <c r="N73" s="569">
        <v>23.97</v>
      </c>
      <c r="O73" s="659"/>
      <c r="P73" s="659"/>
    </row>
    <row r="74" spans="1:16" s="660" customFormat="1" ht="29.25" customHeight="1">
      <c r="A74" s="561" t="s">
        <v>163</v>
      </c>
      <c r="B74" s="562"/>
      <c r="C74" s="563" t="s">
        <v>17</v>
      </c>
      <c r="D74" s="661" t="s">
        <v>152</v>
      </c>
      <c r="E74" s="654" t="s">
        <v>153</v>
      </c>
      <c r="F74" s="594" t="s">
        <v>218</v>
      </c>
      <c r="G74" s="650">
        <v>224.56</v>
      </c>
      <c r="H74" s="565">
        <f t="shared" si="4"/>
        <v>15.223</v>
      </c>
      <c r="I74" s="565">
        <f t="shared" si="5"/>
        <v>18.7029778</v>
      </c>
      <c r="J74" s="566">
        <f t="shared" si="6"/>
        <v>4199.940694768</v>
      </c>
      <c r="K74" s="567"/>
      <c r="L74" s="659"/>
      <c r="M74" s="568">
        <v>0.65</v>
      </c>
      <c r="N74" s="569">
        <v>23.42</v>
      </c>
      <c r="O74" s="659"/>
      <c r="P74" s="659"/>
    </row>
    <row r="75" spans="1:16" s="660" customFormat="1" ht="38.25">
      <c r="A75" s="561" t="s">
        <v>294</v>
      </c>
      <c r="B75" s="562"/>
      <c r="C75" s="563" t="s">
        <v>17</v>
      </c>
      <c r="D75" s="662" t="s">
        <v>157</v>
      </c>
      <c r="E75" s="663" t="s">
        <v>251</v>
      </c>
      <c r="F75" s="594" t="s">
        <v>218</v>
      </c>
      <c r="G75" s="650">
        <v>704.74</v>
      </c>
      <c r="H75" s="565">
        <f t="shared" si="4"/>
        <v>33.1435</v>
      </c>
      <c r="I75" s="565">
        <f t="shared" si="5"/>
        <v>40.7201041</v>
      </c>
      <c r="J75" s="566">
        <f t="shared" si="6"/>
        <v>28697.086163434</v>
      </c>
      <c r="K75" s="567"/>
      <c r="L75" s="659"/>
      <c r="M75" s="568">
        <v>0.65</v>
      </c>
      <c r="N75" s="569">
        <v>50.99</v>
      </c>
      <c r="O75" s="659"/>
      <c r="P75" s="659"/>
    </row>
    <row r="76" spans="1:16" s="660" customFormat="1" ht="63.75">
      <c r="A76" s="561" t="s">
        <v>295</v>
      </c>
      <c r="B76" s="562"/>
      <c r="C76" s="563" t="s">
        <v>17</v>
      </c>
      <c r="D76" s="662" t="s">
        <v>252</v>
      </c>
      <c r="E76" s="664" t="s">
        <v>253</v>
      </c>
      <c r="F76" s="594" t="s">
        <v>218</v>
      </c>
      <c r="G76" s="650">
        <v>738.7</v>
      </c>
      <c r="H76" s="565">
        <f t="shared" si="4"/>
        <v>48.4055</v>
      </c>
      <c r="I76" s="565">
        <f t="shared" si="5"/>
        <v>59.47099730000001</v>
      </c>
      <c r="J76" s="566">
        <f t="shared" si="6"/>
        <v>43931.225705510005</v>
      </c>
      <c r="K76" s="567"/>
      <c r="L76" s="659"/>
      <c r="M76" s="568">
        <v>0.65</v>
      </c>
      <c r="N76" s="569">
        <v>74.47</v>
      </c>
      <c r="O76" s="659"/>
      <c r="P76" s="659"/>
    </row>
    <row r="77" spans="1:14" s="665" customFormat="1" ht="38.25">
      <c r="A77" s="561" t="s">
        <v>293</v>
      </c>
      <c r="B77" s="562"/>
      <c r="C77" s="563" t="s">
        <v>17</v>
      </c>
      <c r="D77" s="563" t="s">
        <v>219</v>
      </c>
      <c r="E77" s="642" t="s">
        <v>220</v>
      </c>
      <c r="F77" s="594" t="s">
        <v>218</v>
      </c>
      <c r="G77" s="565">
        <v>33</v>
      </c>
      <c r="H77" s="565">
        <f t="shared" si="4"/>
        <v>10.913499999999999</v>
      </c>
      <c r="I77" s="565">
        <f t="shared" si="5"/>
        <v>13.408326099999998</v>
      </c>
      <c r="J77" s="566">
        <f t="shared" si="6"/>
        <v>442.47476129999995</v>
      </c>
      <c r="K77" s="567"/>
      <c r="M77" s="568">
        <v>0.65</v>
      </c>
      <c r="N77" s="666">
        <v>16.79</v>
      </c>
    </row>
    <row r="78" spans="1:14" s="665" customFormat="1" ht="25.5">
      <c r="A78" s="561" t="s">
        <v>296</v>
      </c>
      <c r="B78" s="562"/>
      <c r="C78" s="563" t="s">
        <v>17</v>
      </c>
      <c r="D78" s="563" t="s">
        <v>222</v>
      </c>
      <c r="E78" s="642" t="s">
        <v>223</v>
      </c>
      <c r="F78" s="594" t="s">
        <v>218</v>
      </c>
      <c r="G78" s="565">
        <v>33</v>
      </c>
      <c r="H78" s="565">
        <f t="shared" si="4"/>
        <v>6.9095</v>
      </c>
      <c r="I78" s="565">
        <f t="shared" si="5"/>
        <v>8.4890117</v>
      </c>
      <c r="J78" s="566">
        <f t="shared" si="6"/>
        <v>280.1373861</v>
      </c>
      <c r="K78" s="567"/>
      <c r="M78" s="568">
        <v>0.65</v>
      </c>
      <c r="N78" s="666">
        <v>10.63</v>
      </c>
    </row>
    <row r="79" spans="1:13" s="581" customFormat="1" ht="12.75">
      <c r="A79" s="585"/>
      <c r="B79" s="586"/>
      <c r="C79" s="587"/>
      <c r="D79" s="587"/>
      <c r="E79" s="588" t="s">
        <v>53</v>
      </c>
      <c r="F79" s="588"/>
      <c r="G79" s="578"/>
      <c r="H79" s="578"/>
      <c r="I79" s="578"/>
      <c r="J79" s="579">
        <f>SUM(J72:J78)</f>
        <v>103694.52922617101</v>
      </c>
      <c r="K79" s="580">
        <f>K69+J79</f>
        <v>556827.4570876312</v>
      </c>
      <c r="M79" s="568">
        <v>0.65</v>
      </c>
    </row>
    <row r="80" spans="1:16" ht="12.75" customHeight="1">
      <c r="A80" s="667"/>
      <c r="B80" s="668"/>
      <c r="C80" s="669"/>
      <c r="D80" s="669"/>
      <c r="E80" s="669"/>
      <c r="F80" s="669"/>
      <c r="G80" s="565"/>
      <c r="H80" s="565"/>
      <c r="I80" s="565"/>
      <c r="J80" s="669"/>
      <c r="K80" s="670"/>
      <c r="L80" s="522"/>
      <c r="M80" s="568">
        <v>0.65</v>
      </c>
      <c r="N80" s="522"/>
      <c r="O80" s="522"/>
      <c r="P80" s="522"/>
    </row>
    <row r="81" spans="1:16" ht="12.75">
      <c r="A81" s="554">
        <v>8</v>
      </c>
      <c r="B81" s="555"/>
      <c r="C81" s="556"/>
      <c r="D81" s="556"/>
      <c r="E81" s="557" t="s">
        <v>75</v>
      </c>
      <c r="F81" s="556"/>
      <c r="G81" s="671"/>
      <c r="H81" s="671"/>
      <c r="I81" s="671"/>
      <c r="J81" s="672"/>
      <c r="K81" s="673"/>
      <c r="L81" s="522"/>
      <c r="M81" s="568">
        <v>0.65</v>
      </c>
      <c r="N81" s="522"/>
      <c r="O81" s="522"/>
      <c r="P81" s="522"/>
    </row>
    <row r="82" spans="1:16" ht="48" customHeight="1">
      <c r="A82" s="561" t="s">
        <v>68</v>
      </c>
      <c r="B82" s="674" t="s">
        <v>77</v>
      </c>
      <c r="C82" s="563" t="s">
        <v>17</v>
      </c>
      <c r="D82" s="563" t="s">
        <v>78</v>
      </c>
      <c r="E82" s="642" t="s">
        <v>79</v>
      </c>
      <c r="F82" s="594" t="s">
        <v>218</v>
      </c>
      <c r="G82" s="565">
        <v>898.43</v>
      </c>
      <c r="H82" s="565">
        <f t="shared" si="4"/>
        <v>7.1240000000000006</v>
      </c>
      <c r="I82" s="565">
        <f>(H82*$K$10)+H82</f>
        <v>8.7525464</v>
      </c>
      <c r="J82" s="566">
        <f>I82*G82</f>
        <v>7863.550262152</v>
      </c>
      <c r="K82" s="567"/>
      <c r="L82" s="522"/>
      <c r="M82" s="568">
        <v>0.65</v>
      </c>
      <c r="N82" s="569">
        <v>10.96</v>
      </c>
      <c r="O82" s="522"/>
      <c r="P82" s="522"/>
    </row>
    <row r="83" spans="1:16" ht="38.25">
      <c r="A83" s="561" t="s">
        <v>72</v>
      </c>
      <c r="B83" s="562"/>
      <c r="C83" s="563" t="s">
        <v>17</v>
      </c>
      <c r="D83" s="563" t="s">
        <v>81</v>
      </c>
      <c r="E83" s="642" t="s">
        <v>82</v>
      </c>
      <c r="F83" s="594" t="s">
        <v>218</v>
      </c>
      <c r="G83" s="565">
        <v>898.43</v>
      </c>
      <c r="H83" s="565">
        <f t="shared" si="4"/>
        <v>2.9120000000000004</v>
      </c>
      <c r="I83" s="565">
        <f>(H83*$K$10)+H83</f>
        <v>3.5776832000000005</v>
      </c>
      <c r="J83" s="566">
        <f>I83*G83</f>
        <v>3214.2979173760004</v>
      </c>
      <c r="K83" s="567"/>
      <c r="L83" s="522"/>
      <c r="M83" s="568">
        <v>0.65</v>
      </c>
      <c r="N83" s="569">
        <v>4.48</v>
      </c>
      <c r="O83" s="522"/>
      <c r="P83" s="522"/>
    </row>
    <row r="84" spans="1:13" s="581" customFormat="1" ht="12.75">
      <c r="A84" s="585"/>
      <c r="B84" s="586"/>
      <c r="C84" s="587"/>
      <c r="D84" s="587"/>
      <c r="E84" s="588" t="s">
        <v>53</v>
      </c>
      <c r="F84" s="588"/>
      <c r="G84" s="578"/>
      <c r="H84" s="578"/>
      <c r="I84" s="578"/>
      <c r="J84" s="579">
        <f>SUM(J82:J83)</f>
        <v>11077.848179528</v>
      </c>
      <c r="K84" s="580">
        <f>K79+J84</f>
        <v>567905.3052671592</v>
      </c>
      <c r="M84" s="568">
        <v>0.65</v>
      </c>
    </row>
    <row r="85" spans="1:16" ht="12.75" customHeight="1">
      <c r="A85" s="655"/>
      <c r="B85" s="656"/>
      <c r="C85" s="614"/>
      <c r="D85" s="614"/>
      <c r="E85" s="614"/>
      <c r="F85" s="614"/>
      <c r="G85" s="565"/>
      <c r="H85" s="565"/>
      <c r="I85" s="565"/>
      <c r="J85" s="614"/>
      <c r="K85" s="657"/>
      <c r="L85" s="522"/>
      <c r="M85" s="568">
        <v>0.65</v>
      </c>
      <c r="N85" s="522"/>
      <c r="O85" s="522"/>
      <c r="P85" s="522"/>
    </row>
    <row r="86" spans="1:13" s="665" customFormat="1" ht="12.75" customHeight="1">
      <c r="A86" s="585">
        <v>9</v>
      </c>
      <c r="B86" s="586"/>
      <c r="C86" s="587"/>
      <c r="D86" s="587"/>
      <c r="E86" s="588" t="s">
        <v>254</v>
      </c>
      <c r="F86" s="587"/>
      <c r="G86" s="578"/>
      <c r="H86" s="578"/>
      <c r="I86" s="578"/>
      <c r="J86" s="631"/>
      <c r="K86" s="632"/>
      <c r="M86" s="568">
        <v>0.65</v>
      </c>
    </row>
    <row r="87" spans="1:13" s="665" customFormat="1" ht="12.75" customHeight="1">
      <c r="A87" s="585" t="s">
        <v>76</v>
      </c>
      <c r="B87" s="586"/>
      <c r="C87" s="587"/>
      <c r="D87" s="587"/>
      <c r="E87" s="588" t="s">
        <v>475</v>
      </c>
      <c r="F87" s="587"/>
      <c r="G87" s="578"/>
      <c r="H87" s="578"/>
      <c r="I87" s="578"/>
      <c r="J87" s="631"/>
      <c r="K87" s="632"/>
      <c r="M87" s="568"/>
    </row>
    <row r="88" spans="1:16" ht="34.5" customHeight="1">
      <c r="A88" s="561" t="s">
        <v>297</v>
      </c>
      <c r="B88" s="674" t="s">
        <v>77</v>
      </c>
      <c r="C88" s="563" t="s">
        <v>17</v>
      </c>
      <c r="D88" s="651" t="s">
        <v>276</v>
      </c>
      <c r="E88" s="663" t="s">
        <v>275</v>
      </c>
      <c r="F88" s="594" t="s">
        <v>218</v>
      </c>
      <c r="G88" s="565">
        <v>48.168</v>
      </c>
      <c r="H88" s="565">
        <f t="shared" si="4"/>
        <v>225.5565</v>
      </c>
      <c r="I88" s="565">
        <f>(H88*$K$10)+H88</f>
        <v>277.1187159</v>
      </c>
      <c r="J88" s="566">
        <f>I88*G88</f>
        <v>13348.2543074712</v>
      </c>
      <c r="K88" s="567"/>
      <c r="L88" s="522"/>
      <c r="M88" s="568">
        <v>0.65</v>
      </c>
      <c r="N88" s="522">
        <v>347.01</v>
      </c>
      <c r="O88" s="522"/>
      <c r="P88" s="522"/>
    </row>
    <row r="89" spans="1:16" ht="51">
      <c r="A89" s="561" t="s">
        <v>298</v>
      </c>
      <c r="B89" s="562"/>
      <c r="C89" s="563" t="s">
        <v>17</v>
      </c>
      <c r="D89" s="651" t="s">
        <v>272</v>
      </c>
      <c r="E89" s="663" t="s">
        <v>271</v>
      </c>
      <c r="F89" s="594" t="s">
        <v>218</v>
      </c>
      <c r="G89" s="565">
        <f>48.168+(3.62*2)</f>
        <v>55.408</v>
      </c>
      <c r="H89" s="565">
        <f t="shared" si="4"/>
        <v>150.917</v>
      </c>
      <c r="I89" s="675">
        <f>(H89*$K$10)+H89</f>
        <v>185.4166262</v>
      </c>
      <c r="J89" s="676">
        <f>I89*G89</f>
        <v>10273.5644244896</v>
      </c>
      <c r="K89" s="677"/>
      <c r="L89" s="522"/>
      <c r="M89" s="568">
        <v>0.65</v>
      </c>
      <c r="N89" s="522">
        <v>232.18</v>
      </c>
      <c r="O89" s="522"/>
      <c r="P89" s="522"/>
    </row>
    <row r="90" spans="1:16" ht="25.5">
      <c r="A90" s="561" t="s">
        <v>299</v>
      </c>
      <c r="B90" s="562"/>
      <c r="C90" s="563" t="s">
        <v>17</v>
      </c>
      <c r="D90" s="678" t="s">
        <v>258</v>
      </c>
      <c r="E90" s="679" t="s">
        <v>257</v>
      </c>
      <c r="F90" s="680" t="s">
        <v>259</v>
      </c>
      <c r="G90" s="681">
        <f>3.62*2</f>
        <v>7.24</v>
      </c>
      <c r="H90" s="565">
        <f t="shared" si="4"/>
        <v>65</v>
      </c>
      <c r="I90" s="565">
        <f>(H90*$K$10)+H90</f>
        <v>79.859</v>
      </c>
      <c r="J90" s="566">
        <f>I90*G90</f>
        <v>578.17916</v>
      </c>
      <c r="K90" s="682"/>
      <c r="L90" s="522"/>
      <c r="M90" s="568">
        <v>0.65</v>
      </c>
      <c r="N90" s="522">
        <v>100</v>
      </c>
      <c r="O90" s="522"/>
      <c r="P90" s="522"/>
    </row>
    <row r="91" spans="1:16" ht="25.5">
      <c r="A91" s="561" t="s">
        <v>424</v>
      </c>
      <c r="B91" s="563"/>
      <c r="C91" s="563" t="s">
        <v>17</v>
      </c>
      <c r="D91" s="651" t="s">
        <v>261</v>
      </c>
      <c r="E91" s="683" t="s">
        <v>260</v>
      </c>
      <c r="F91" s="594" t="s">
        <v>218</v>
      </c>
      <c r="G91" s="565">
        <f>3.62*2</f>
        <v>7.24</v>
      </c>
      <c r="H91" s="565">
        <f t="shared" si="4"/>
        <v>29.484</v>
      </c>
      <c r="I91" s="565">
        <f>(H91*$K$10)+H91</f>
        <v>36.2240424</v>
      </c>
      <c r="J91" s="566">
        <f>I91*G91</f>
        <v>262.262066976</v>
      </c>
      <c r="K91" s="567"/>
      <c r="L91" s="522"/>
      <c r="M91" s="568">
        <v>0.65</v>
      </c>
      <c r="N91" s="522">
        <v>45.36</v>
      </c>
      <c r="O91" s="522"/>
      <c r="P91" s="522"/>
    </row>
    <row r="92" spans="1:16" ht="12.75">
      <c r="A92" s="606" t="s">
        <v>80</v>
      </c>
      <c r="B92" s="607"/>
      <c r="C92" s="608"/>
      <c r="D92" s="608"/>
      <c r="E92" s="609" t="s">
        <v>39</v>
      </c>
      <c r="F92" s="609"/>
      <c r="G92" s="578"/>
      <c r="H92" s="578"/>
      <c r="I92" s="578"/>
      <c r="J92" s="610"/>
      <c r="K92" s="611"/>
      <c r="L92" s="522"/>
      <c r="M92" s="568">
        <v>0.65</v>
      </c>
      <c r="N92" s="522"/>
      <c r="O92" s="522"/>
      <c r="P92" s="522"/>
    </row>
    <row r="93" spans="1:16" ht="25.5">
      <c r="A93" s="591" t="s">
        <v>498</v>
      </c>
      <c r="B93" s="592"/>
      <c r="C93" s="594" t="s">
        <v>17</v>
      </c>
      <c r="D93" s="594" t="s">
        <v>32</v>
      </c>
      <c r="E93" s="595" t="s">
        <v>33</v>
      </c>
      <c r="F93" s="594" t="s">
        <v>329</v>
      </c>
      <c r="G93" s="565">
        <v>216.8</v>
      </c>
      <c r="H93" s="565">
        <f t="shared" si="4"/>
        <v>8.424000000000001</v>
      </c>
      <c r="I93" s="565">
        <f>(H93*$K$10)+H93</f>
        <v>10.349726400000002</v>
      </c>
      <c r="J93" s="566">
        <f>I93*G93</f>
        <v>2243.8206835200003</v>
      </c>
      <c r="K93" s="596"/>
      <c r="L93" s="522"/>
      <c r="M93" s="568">
        <v>0.65</v>
      </c>
      <c r="N93" s="569">
        <v>12.96</v>
      </c>
      <c r="O93" s="522"/>
      <c r="P93" s="522"/>
    </row>
    <row r="94" spans="1:16" ht="38.25">
      <c r="A94" s="591" t="s">
        <v>300</v>
      </c>
      <c r="B94" s="600"/>
      <c r="C94" s="593" t="s">
        <v>17</v>
      </c>
      <c r="D94" s="593" t="s">
        <v>45</v>
      </c>
      <c r="E94" s="604" t="s">
        <v>37</v>
      </c>
      <c r="F94" s="594" t="s">
        <v>214</v>
      </c>
      <c r="G94" s="565">
        <v>59.46</v>
      </c>
      <c r="H94" s="565">
        <f t="shared" si="4"/>
        <v>273.611</v>
      </c>
      <c r="I94" s="565">
        <f>(H94*$K$10)+H94</f>
        <v>336.1584746</v>
      </c>
      <c r="J94" s="566">
        <f>I94*G94</f>
        <v>19987.982899716</v>
      </c>
      <c r="K94" s="584"/>
      <c r="L94" s="522"/>
      <c r="M94" s="568">
        <v>0.65</v>
      </c>
      <c r="N94" s="569">
        <v>420.94</v>
      </c>
      <c r="O94" s="522"/>
      <c r="P94" s="522"/>
    </row>
    <row r="95" spans="1:16" ht="38.25">
      <c r="A95" s="591" t="s">
        <v>301</v>
      </c>
      <c r="B95" s="600"/>
      <c r="C95" s="563" t="s">
        <v>17</v>
      </c>
      <c r="D95" s="562" t="s">
        <v>283</v>
      </c>
      <c r="E95" s="614" t="s">
        <v>284</v>
      </c>
      <c r="F95" s="594" t="s">
        <v>218</v>
      </c>
      <c r="G95" s="565">
        <f>(0.5*3.9)*14</f>
        <v>27.3</v>
      </c>
      <c r="H95" s="565">
        <f>N95*M95</f>
        <v>40.261</v>
      </c>
      <c r="I95" s="565">
        <f>(H95*$K$10)+H95</f>
        <v>49.464664600000006</v>
      </c>
      <c r="J95" s="566">
        <f>I95*G95</f>
        <v>1350.3853435800002</v>
      </c>
      <c r="K95" s="684"/>
      <c r="L95" s="522" t="s">
        <v>286</v>
      </c>
      <c r="M95" s="568">
        <v>0.65</v>
      </c>
      <c r="N95" s="569">
        <v>61.94</v>
      </c>
      <c r="O95" s="522"/>
      <c r="P95" s="522"/>
    </row>
    <row r="96" spans="1:16" ht="38.25">
      <c r="A96" s="591" t="s">
        <v>302</v>
      </c>
      <c r="B96" s="600"/>
      <c r="C96" s="634" t="s">
        <v>17</v>
      </c>
      <c r="D96" s="634" t="s">
        <v>78</v>
      </c>
      <c r="E96" s="635" t="s">
        <v>79</v>
      </c>
      <c r="F96" s="634" t="s">
        <v>19</v>
      </c>
      <c r="G96" s="565">
        <f>(0.5*3.9)*14</f>
        <v>27.3</v>
      </c>
      <c r="H96" s="626">
        <f>N96*M96</f>
        <v>7.1240000000000006</v>
      </c>
      <c r="I96" s="565">
        <f>(H96*$K$10)+H96</f>
        <v>8.7525464</v>
      </c>
      <c r="J96" s="566">
        <f>I96*G96</f>
        <v>238.94451672</v>
      </c>
      <c r="K96" s="684"/>
      <c r="L96" s="522"/>
      <c r="M96" s="568">
        <v>0.65</v>
      </c>
      <c r="N96" s="569">
        <v>10.96</v>
      </c>
      <c r="O96" s="522"/>
      <c r="P96" s="522"/>
    </row>
    <row r="97" spans="1:16" ht="38.25">
      <c r="A97" s="591" t="s">
        <v>476</v>
      </c>
      <c r="B97" s="600"/>
      <c r="C97" s="634" t="s">
        <v>17</v>
      </c>
      <c r="D97" s="634" t="s">
        <v>81</v>
      </c>
      <c r="E97" s="635" t="s">
        <v>82</v>
      </c>
      <c r="F97" s="634" t="s">
        <v>19</v>
      </c>
      <c r="G97" s="565">
        <f>(0.5*3.9)*14</f>
        <v>27.3</v>
      </c>
      <c r="H97" s="626">
        <f>N97*M97</f>
        <v>2.9120000000000004</v>
      </c>
      <c r="I97" s="565">
        <f>(H97*$K$10)+H97</f>
        <v>3.5776832000000005</v>
      </c>
      <c r="J97" s="566">
        <f>I97*G97</f>
        <v>97.67075136000001</v>
      </c>
      <c r="K97" s="684"/>
      <c r="L97" s="522"/>
      <c r="M97" s="568">
        <v>0.65</v>
      </c>
      <c r="N97" s="569">
        <v>4.48</v>
      </c>
      <c r="O97" s="522"/>
      <c r="P97" s="522"/>
    </row>
    <row r="98" spans="1:13" s="581" customFormat="1" ht="12.75" customHeight="1">
      <c r="A98" s="585"/>
      <c r="B98" s="586"/>
      <c r="C98" s="587"/>
      <c r="D98" s="587"/>
      <c r="E98" s="588" t="s">
        <v>53</v>
      </c>
      <c r="F98" s="588"/>
      <c r="G98" s="578"/>
      <c r="H98" s="578"/>
      <c r="I98" s="578"/>
      <c r="J98" s="579">
        <f>SUM(J88:J97)</f>
        <v>48381.06415383279</v>
      </c>
      <c r="K98" s="580">
        <f>K84+J98</f>
        <v>616286.369420992</v>
      </c>
      <c r="M98" s="568">
        <v>0.65</v>
      </c>
    </row>
    <row r="99" spans="1:16" ht="12.75" customHeight="1">
      <c r="A99" s="655"/>
      <c r="B99" s="656"/>
      <c r="C99" s="614"/>
      <c r="D99" s="614"/>
      <c r="E99" s="614"/>
      <c r="F99" s="614"/>
      <c r="G99" s="565"/>
      <c r="H99" s="565"/>
      <c r="I99" s="565"/>
      <c r="J99" s="614"/>
      <c r="K99" s="657"/>
      <c r="L99" s="522"/>
      <c r="M99" s="568">
        <v>0.65</v>
      </c>
      <c r="N99" s="522"/>
      <c r="O99" s="522"/>
      <c r="P99" s="522"/>
    </row>
    <row r="100" spans="1:16" ht="12.75">
      <c r="A100" s="585">
        <v>10</v>
      </c>
      <c r="B100" s="586"/>
      <c r="C100" s="587"/>
      <c r="D100" s="587"/>
      <c r="E100" s="588" t="s">
        <v>83</v>
      </c>
      <c r="F100" s="587"/>
      <c r="G100" s="578"/>
      <c r="H100" s="578"/>
      <c r="I100" s="578"/>
      <c r="J100" s="631"/>
      <c r="K100" s="632"/>
      <c r="L100" s="522"/>
      <c r="M100" s="568">
        <v>0.65</v>
      </c>
      <c r="N100" s="522"/>
      <c r="O100" s="522"/>
      <c r="P100" s="522"/>
    </row>
    <row r="101" spans="1:16" ht="135" customHeight="1">
      <c r="A101" s="561" t="s">
        <v>84</v>
      </c>
      <c r="B101" s="562"/>
      <c r="C101" s="563" t="s">
        <v>17</v>
      </c>
      <c r="D101" s="563" t="s">
        <v>85</v>
      </c>
      <c r="E101" s="604" t="s">
        <v>86</v>
      </c>
      <c r="F101" s="563" t="s">
        <v>328</v>
      </c>
      <c r="G101" s="565">
        <f>6+9+5+1+14</f>
        <v>35</v>
      </c>
      <c r="H101" s="565">
        <f t="shared" si="4"/>
        <v>149.8965</v>
      </c>
      <c r="I101" s="565">
        <f aca="true" t="shared" si="7" ref="I101:I108">(H101*$K$10)+H101</f>
        <v>184.1628399</v>
      </c>
      <c r="J101" s="566">
        <f>I101*G101</f>
        <v>6445.6993965</v>
      </c>
      <c r="K101" s="567"/>
      <c r="L101" s="522"/>
      <c r="M101" s="568">
        <v>0.65</v>
      </c>
      <c r="N101" s="569">
        <v>230.61</v>
      </c>
      <c r="O101" s="522"/>
      <c r="P101" s="522"/>
    </row>
    <row r="102" spans="1:16" ht="55.5" customHeight="1">
      <c r="A102" s="561" t="s">
        <v>87</v>
      </c>
      <c r="B102" s="562"/>
      <c r="C102" s="563" t="s">
        <v>285</v>
      </c>
      <c r="D102" s="563">
        <v>93128</v>
      </c>
      <c r="E102" s="642" t="s">
        <v>88</v>
      </c>
      <c r="F102" s="563" t="s">
        <v>328</v>
      </c>
      <c r="G102" s="565">
        <f>12+29+12</f>
        <v>53</v>
      </c>
      <c r="H102" s="565">
        <f t="shared" si="4"/>
        <v>72.852</v>
      </c>
      <c r="I102" s="565">
        <f t="shared" si="7"/>
        <v>89.5059672</v>
      </c>
      <c r="J102" s="566">
        <f>I102*G102</f>
        <v>4743.8162616</v>
      </c>
      <c r="K102" s="685"/>
      <c r="L102" s="522"/>
      <c r="M102" s="568">
        <v>0.65</v>
      </c>
      <c r="N102" s="569">
        <v>112.08</v>
      </c>
      <c r="O102" s="522"/>
      <c r="P102" s="522"/>
    </row>
    <row r="103" spans="1:16" ht="55.5" customHeight="1">
      <c r="A103" s="561" t="s">
        <v>173</v>
      </c>
      <c r="B103" s="562"/>
      <c r="C103" s="634" t="s">
        <v>17</v>
      </c>
      <c r="D103" s="563" t="s">
        <v>474</v>
      </c>
      <c r="E103" s="642" t="s">
        <v>473</v>
      </c>
      <c r="F103" s="563" t="s">
        <v>328</v>
      </c>
      <c r="G103" s="565">
        <f>G102</f>
        <v>53</v>
      </c>
      <c r="H103" s="565">
        <v>114.95</v>
      </c>
      <c r="I103" s="565">
        <f t="shared" si="7"/>
        <v>141.22757000000001</v>
      </c>
      <c r="J103" s="566">
        <f>I103*G103</f>
        <v>7485.061210000001</v>
      </c>
      <c r="K103" s="685"/>
      <c r="L103" s="522"/>
      <c r="M103" s="568"/>
      <c r="N103" s="569"/>
      <c r="O103" s="522"/>
      <c r="P103" s="522"/>
    </row>
    <row r="104" spans="1:16" ht="33.75" customHeight="1">
      <c r="A104" s="561" t="s">
        <v>175</v>
      </c>
      <c r="B104" s="633"/>
      <c r="C104" s="634" t="s">
        <v>17</v>
      </c>
      <c r="D104" s="634" t="s">
        <v>447</v>
      </c>
      <c r="E104" s="635" t="s">
        <v>448</v>
      </c>
      <c r="F104" s="634" t="s">
        <v>328</v>
      </c>
      <c r="G104" s="626">
        <v>1</v>
      </c>
      <c r="H104" s="565">
        <v>160.23</v>
      </c>
      <c r="I104" s="565">
        <f t="shared" si="7"/>
        <v>196.858578</v>
      </c>
      <c r="J104" s="566">
        <f>I104*G104</f>
        <v>196.858578</v>
      </c>
      <c r="K104" s="685"/>
      <c r="L104" s="522"/>
      <c r="M104" s="568"/>
      <c r="N104" s="569"/>
      <c r="O104" s="522"/>
      <c r="P104" s="522"/>
    </row>
    <row r="105" spans="1:16" ht="21" customHeight="1">
      <c r="A105" s="561" t="s">
        <v>176</v>
      </c>
      <c r="B105" s="633"/>
      <c r="C105" s="634" t="s">
        <v>17</v>
      </c>
      <c r="D105" s="634" t="s">
        <v>450</v>
      </c>
      <c r="E105" s="635" t="s">
        <v>449</v>
      </c>
      <c r="F105" s="634" t="s">
        <v>328</v>
      </c>
      <c r="G105" s="626">
        <v>1</v>
      </c>
      <c r="H105" s="565">
        <v>52.88</v>
      </c>
      <c r="I105" s="565">
        <f t="shared" si="7"/>
        <v>64.968368</v>
      </c>
      <c r="J105" s="566">
        <f>I105*G105</f>
        <v>64.968368</v>
      </c>
      <c r="K105" s="685"/>
      <c r="L105" s="522"/>
      <c r="M105" s="568"/>
      <c r="N105" s="569"/>
      <c r="O105" s="522"/>
      <c r="P105" s="522"/>
    </row>
    <row r="106" spans="1:16" ht="36" customHeight="1">
      <c r="A106" s="561" t="s">
        <v>177</v>
      </c>
      <c r="B106" s="686"/>
      <c r="C106" s="634" t="s">
        <v>285</v>
      </c>
      <c r="D106" s="634">
        <v>90458</v>
      </c>
      <c r="E106" s="635" t="s">
        <v>453</v>
      </c>
      <c r="F106" s="634" t="s">
        <v>328</v>
      </c>
      <c r="G106" s="626">
        <v>1</v>
      </c>
      <c r="H106" s="626">
        <v>19.97</v>
      </c>
      <c r="I106" s="626">
        <f t="shared" si="7"/>
        <v>24.535142</v>
      </c>
      <c r="J106" s="687">
        <f>(I106*$K$10)+I106</f>
        <v>30.1438754612</v>
      </c>
      <c r="K106" s="688"/>
      <c r="L106" s="522"/>
      <c r="M106" s="568"/>
      <c r="N106" s="569"/>
      <c r="O106" s="522"/>
      <c r="P106" s="522"/>
    </row>
    <row r="107" spans="1:16" ht="44.25" customHeight="1">
      <c r="A107" s="561" t="s">
        <v>180</v>
      </c>
      <c r="B107" s="633"/>
      <c r="C107" s="634" t="s">
        <v>17</v>
      </c>
      <c r="D107" s="634" t="s">
        <v>463</v>
      </c>
      <c r="E107" s="635" t="s">
        <v>462</v>
      </c>
      <c r="F107" s="634" t="s">
        <v>172</v>
      </c>
      <c r="G107" s="626">
        <v>399.7</v>
      </c>
      <c r="H107" s="626">
        <v>2.5</v>
      </c>
      <c r="I107" s="626">
        <f t="shared" si="7"/>
        <v>3.0715</v>
      </c>
      <c r="J107" s="687">
        <f>(I107*$K$10)+I107</f>
        <v>3.7736449</v>
      </c>
      <c r="K107" s="688"/>
      <c r="L107" s="522"/>
      <c r="M107" s="568"/>
      <c r="N107" s="569"/>
      <c r="O107" s="522"/>
      <c r="P107" s="522"/>
    </row>
    <row r="108" spans="1:16" ht="47.25" customHeight="1">
      <c r="A108" s="561" t="s">
        <v>461</v>
      </c>
      <c r="B108" s="633"/>
      <c r="C108" s="634" t="s">
        <v>17</v>
      </c>
      <c r="D108" s="634" t="s">
        <v>465</v>
      </c>
      <c r="E108" s="635" t="s">
        <v>464</v>
      </c>
      <c r="F108" s="634" t="s">
        <v>172</v>
      </c>
      <c r="G108" s="626">
        <v>700.2</v>
      </c>
      <c r="H108" s="626">
        <v>4.08</v>
      </c>
      <c r="I108" s="626">
        <f t="shared" si="7"/>
        <v>5.012688</v>
      </c>
      <c r="J108" s="687">
        <f>(I108*$K$10)+I108</f>
        <v>6.158588476799999</v>
      </c>
      <c r="K108" s="688"/>
      <c r="L108" s="522"/>
      <c r="M108" s="568"/>
      <c r="N108" s="569"/>
      <c r="O108" s="522"/>
      <c r="P108" s="522"/>
    </row>
    <row r="109" spans="1:16" ht="12.75" customHeight="1">
      <c r="A109" s="689"/>
      <c r="B109" s="690"/>
      <c r="C109" s="691"/>
      <c r="D109" s="691"/>
      <c r="E109" s="588" t="s">
        <v>53</v>
      </c>
      <c r="F109" s="588"/>
      <c r="G109" s="578"/>
      <c r="H109" s="578"/>
      <c r="I109" s="578"/>
      <c r="J109" s="579">
        <f>SUM(J101:J106,J107:J108)</f>
        <v>18976.479922938</v>
      </c>
      <c r="K109" s="692">
        <f>K98+J109</f>
        <v>635262.84934393</v>
      </c>
      <c r="L109" s="522"/>
      <c r="M109" s="568"/>
      <c r="N109" s="569"/>
      <c r="O109" s="522"/>
      <c r="P109" s="522"/>
    </row>
    <row r="110" spans="1:16" ht="12.75" customHeight="1">
      <c r="A110" s="693"/>
      <c r="B110" s="622"/>
      <c r="C110" s="623"/>
      <c r="D110" s="694"/>
      <c r="E110" s="695"/>
      <c r="F110" s="695"/>
      <c r="G110" s="696"/>
      <c r="H110" s="696"/>
      <c r="I110" s="696"/>
      <c r="J110" s="697"/>
      <c r="K110" s="698"/>
      <c r="L110" s="522"/>
      <c r="M110" s="568"/>
      <c r="N110" s="569"/>
      <c r="O110" s="522"/>
      <c r="P110" s="522"/>
    </row>
    <row r="111" spans="1:16" ht="12.75">
      <c r="A111" s="699">
        <v>11</v>
      </c>
      <c r="B111" s="700"/>
      <c r="C111" s="691"/>
      <c r="D111" s="691"/>
      <c r="E111" s="701" t="s">
        <v>226</v>
      </c>
      <c r="F111" s="691"/>
      <c r="G111" s="702"/>
      <c r="H111" s="578"/>
      <c r="I111" s="702"/>
      <c r="J111" s="703"/>
      <c r="K111" s="704"/>
      <c r="L111" s="705"/>
      <c r="M111" s="568">
        <v>0.65</v>
      </c>
      <c r="N111" s="706">
        <v>0</v>
      </c>
      <c r="O111" s="705"/>
      <c r="P111" s="522"/>
    </row>
    <row r="112" spans="1:16" ht="51">
      <c r="A112" s="707" t="s">
        <v>90</v>
      </c>
      <c r="B112" s="708"/>
      <c r="C112" s="709" t="s">
        <v>17</v>
      </c>
      <c r="D112" s="710" t="s">
        <v>235</v>
      </c>
      <c r="E112" s="710" t="s">
        <v>236</v>
      </c>
      <c r="F112" s="709" t="s">
        <v>172</v>
      </c>
      <c r="G112" s="711">
        <v>1</v>
      </c>
      <c r="H112" s="565">
        <f t="shared" si="4"/>
        <v>39.435500000000005</v>
      </c>
      <c r="I112" s="565">
        <f>(H112*$K$10)+H112</f>
        <v>48.4504553</v>
      </c>
      <c r="J112" s="566">
        <f aca="true" t="shared" si="8" ref="J112:J126">I112*G112</f>
        <v>48.4504553</v>
      </c>
      <c r="K112" s="712"/>
      <c r="L112" s="713"/>
      <c r="M112" s="568">
        <v>0.65</v>
      </c>
      <c r="N112" s="706">
        <v>60.67</v>
      </c>
      <c r="O112" s="705"/>
      <c r="P112" s="522"/>
    </row>
    <row r="113" spans="1:16" ht="51">
      <c r="A113" s="707" t="s">
        <v>303</v>
      </c>
      <c r="B113" s="708"/>
      <c r="C113" s="709" t="s">
        <v>17</v>
      </c>
      <c r="D113" s="710" t="s">
        <v>178</v>
      </c>
      <c r="E113" s="710" t="s">
        <v>179</v>
      </c>
      <c r="F113" s="709" t="s">
        <v>328</v>
      </c>
      <c r="G113" s="711">
        <v>3</v>
      </c>
      <c r="H113" s="565">
        <f t="shared" si="4"/>
        <v>31.8565</v>
      </c>
      <c r="I113" s="565">
        <f aca="true" t="shared" si="9" ref="I113:I125">(H113*$K$10)+H113</f>
        <v>39.1388959</v>
      </c>
      <c r="J113" s="566">
        <f t="shared" si="8"/>
        <v>117.41668770000001</v>
      </c>
      <c r="K113" s="712"/>
      <c r="L113" s="713"/>
      <c r="M113" s="568">
        <v>0.65</v>
      </c>
      <c r="N113" s="706">
        <v>49.01</v>
      </c>
      <c r="O113" s="705"/>
      <c r="P113" s="522"/>
    </row>
    <row r="114" spans="1:16" ht="51">
      <c r="A114" s="707" t="s">
        <v>304</v>
      </c>
      <c r="B114" s="708"/>
      <c r="C114" s="709" t="s">
        <v>17</v>
      </c>
      <c r="D114" s="710" t="s">
        <v>181</v>
      </c>
      <c r="E114" s="710" t="s">
        <v>182</v>
      </c>
      <c r="F114" s="709" t="s">
        <v>328</v>
      </c>
      <c r="G114" s="711">
        <v>1</v>
      </c>
      <c r="H114" s="565">
        <f t="shared" si="4"/>
        <v>56.71900000000001</v>
      </c>
      <c r="I114" s="565">
        <f t="shared" si="9"/>
        <v>69.68496340000002</v>
      </c>
      <c r="J114" s="566">
        <f t="shared" si="8"/>
        <v>69.68496340000002</v>
      </c>
      <c r="K114" s="712"/>
      <c r="L114" s="713"/>
      <c r="M114" s="568">
        <v>0.65</v>
      </c>
      <c r="N114" s="706">
        <v>87.26</v>
      </c>
      <c r="O114" s="705"/>
      <c r="P114" s="522"/>
    </row>
    <row r="115" spans="1:16" ht="12.75">
      <c r="A115" s="707" t="s">
        <v>305</v>
      </c>
      <c r="B115" s="708"/>
      <c r="C115" s="709" t="s">
        <v>17</v>
      </c>
      <c r="D115" s="710" t="s">
        <v>183</v>
      </c>
      <c r="E115" s="710" t="s">
        <v>184</v>
      </c>
      <c r="F115" s="709" t="s">
        <v>328</v>
      </c>
      <c r="G115" s="711">
        <v>6</v>
      </c>
      <c r="H115" s="565">
        <f t="shared" si="4"/>
        <v>93.08</v>
      </c>
      <c r="I115" s="565">
        <f t="shared" si="9"/>
        <v>114.358088</v>
      </c>
      <c r="J115" s="566">
        <f t="shared" si="8"/>
        <v>686.1485279999999</v>
      </c>
      <c r="K115" s="712"/>
      <c r="L115" s="713"/>
      <c r="M115" s="568">
        <v>0.65</v>
      </c>
      <c r="N115" s="714">
        <v>143.2</v>
      </c>
      <c r="O115" s="705"/>
      <c r="P115" s="522"/>
    </row>
    <row r="116" spans="1:16" ht="76.5">
      <c r="A116" s="707" t="s">
        <v>306</v>
      </c>
      <c r="B116" s="715"/>
      <c r="C116" s="709" t="s">
        <v>17</v>
      </c>
      <c r="D116" s="709" t="s">
        <v>237</v>
      </c>
      <c r="E116" s="710" t="s">
        <v>238</v>
      </c>
      <c r="F116" s="709" t="s">
        <v>328</v>
      </c>
      <c r="G116" s="711">
        <v>1</v>
      </c>
      <c r="H116" s="565">
        <f t="shared" si="4"/>
        <v>224.4515</v>
      </c>
      <c r="I116" s="565">
        <f t="shared" si="9"/>
        <v>275.7611129</v>
      </c>
      <c r="J116" s="566">
        <f t="shared" si="8"/>
        <v>275.7611129</v>
      </c>
      <c r="K116" s="712"/>
      <c r="L116" s="713"/>
      <c r="M116" s="568">
        <v>0.65</v>
      </c>
      <c r="N116" s="714">
        <v>345.31</v>
      </c>
      <c r="O116" s="705"/>
      <c r="P116" s="522"/>
    </row>
    <row r="117" spans="1:16" ht="75" customHeight="1">
      <c r="A117" s="707" t="s">
        <v>307</v>
      </c>
      <c r="B117" s="708"/>
      <c r="C117" s="709" t="s">
        <v>17</v>
      </c>
      <c r="D117" s="710" t="s">
        <v>185</v>
      </c>
      <c r="E117" s="710" t="s">
        <v>186</v>
      </c>
      <c r="F117" s="709" t="s">
        <v>328</v>
      </c>
      <c r="G117" s="711">
        <v>1</v>
      </c>
      <c r="H117" s="565">
        <f t="shared" si="4"/>
        <v>115.9015</v>
      </c>
      <c r="I117" s="565">
        <f t="shared" si="9"/>
        <v>142.3965829</v>
      </c>
      <c r="J117" s="566">
        <f t="shared" si="8"/>
        <v>142.3965829</v>
      </c>
      <c r="K117" s="712"/>
      <c r="L117" s="713"/>
      <c r="M117" s="568">
        <v>0.65</v>
      </c>
      <c r="N117" s="714">
        <v>178.31</v>
      </c>
      <c r="O117" s="705"/>
      <c r="P117" s="522"/>
    </row>
    <row r="118" spans="1:16" ht="38.25">
      <c r="A118" s="707" t="s">
        <v>308</v>
      </c>
      <c r="B118" s="708"/>
      <c r="C118" s="709" t="s">
        <v>17</v>
      </c>
      <c r="D118" s="710" t="s">
        <v>187</v>
      </c>
      <c r="E118" s="710" t="s">
        <v>188</v>
      </c>
      <c r="F118" s="709" t="s">
        <v>328</v>
      </c>
      <c r="G118" s="711">
        <v>1</v>
      </c>
      <c r="H118" s="565">
        <f aca="true" t="shared" si="10" ref="H118:H126">N118*M118</f>
        <v>125.72950000000002</v>
      </c>
      <c r="I118" s="565">
        <f t="shared" si="9"/>
        <v>154.4712637</v>
      </c>
      <c r="J118" s="566">
        <f t="shared" si="8"/>
        <v>154.4712637</v>
      </c>
      <c r="K118" s="712"/>
      <c r="L118" s="713"/>
      <c r="M118" s="568">
        <v>0.65</v>
      </c>
      <c r="N118" s="714">
        <v>193.43</v>
      </c>
      <c r="O118" s="705"/>
      <c r="P118" s="522"/>
    </row>
    <row r="119" spans="1:16" ht="102">
      <c r="A119" s="707" t="s">
        <v>309</v>
      </c>
      <c r="B119" s="708"/>
      <c r="C119" s="709" t="s">
        <v>17</v>
      </c>
      <c r="D119" s="710" t="s">
        <v>245</v>
      </c>
      <c r="E119" s="710" t="s">
        <v>250</v>
      </c>
      <c r="F119" s="709" t="s">
        <v>328</v>
      </c>
      <c r="G119" s="711">
        <v>1</v>
      </c>
      <c r="H119" s="565">
        <f t="shared" si="10"/>
        <v>174.525</v>
      </c>
      <c r="I119" s="565">
        <f t="shared" si="9"/>
        <v>214.421415</v>
      </c>
      <c r="J119" s="566">
        <f t="shared" si="8"/>
        <v>214.421415</v>
      </c>
      <c r="K119" s="712"/>
      <c r="L119" s="713"/>
      <c r="M119" s="568">
        <v>0.65</v>
      </c>
      <c r="N119" s="714">
        <v>268.5</v>
      </c>
      <c r="O119" s="705"/>
      <c r="P119" s="522"/>
    </row>
    <row r="120" spans="1:16" ht="76.5">
      <c r="A120" s="707" t="s">
        <v>310</v>
      </c>
      <c r="B120" s="708"/>
      <c r="C120" s="709" t="s">
        <v>17</v>
      </c>
      <c r="D120" s="710" t="s">
        <v>247</v>
      </c>
      <c r="E120" s="716" t="s">
        <v>246</v>
      </c>
      <c r="F120" s="709" t="s">
        <v>328</v>
      </c>
      <c r="G120" s="711">
        <v>2</v>
      </c>
      <c r="H120" s="565">
        <f t="shared" si="10"/>
        <v>120.41250000000001</v>
      </c>
      <c r="I120" s="565">
        <f t="shared" si="9"/>
        <v>147.93879750000002</v>
      </c>
      <c r="J120" s="566">
        <f t="shared" si="8"/>
        <v>295.87759500000004</v>
      </c>
      <c r="K120" s="712"/>
      <c r="L120" s="713"/>
      <c r="M120" s="568">
        <v>0.65</v>
      </c>
      <c r="N120" s="714">
        <v>185.25</v>
      </c>
      <c r="O120" s="705"/>
      <c r="P120" s="522"/>
    </row>
    <row r="121" spans="1:16" ht="89.25">
      <c r="A121" s="707" t="s">
        <v>311</v>
      </c>
      <c r="B121" s="708"/>
      <c r="C121" s="709" t="s">
        <v>17</v>
      </c>
      <c r="D121" s="710" t="s">
        <v>239</v>
      </c>
      <c r="E121" s="710" t="s">
        <v>240</v>
      </c>
      <c r="F121" s="709" t="s">
        <v>328</v>
      </c>
      <c r="G121" s="717">
        <v>2</v>
      </c>
      <c r="H121" s="565">
        <f t="shared" si="10"/>
        <v>83.8565</v>
      </c>
      <c r="I121" s="565">
        <f t="shared" si="9"/>
        <v>103.0260959</v>
      </c>
      <c r="J121" s="566">
        <f>I121*G121</f>
        <v>206.0521918</v>
      </c>
      <c r="K121" s="712"/>
      <c r="L121" s="713"/>
      <c r="M121" s="568">
        <v>0.65</v>
      </c>
      <c r="N121" s="714">
        <v>129.01</v>
      </c>
      <c r="O121" s="705"/>
      <c r="P121" s="522"/>
    </row>
    <row r="122" spans="1:16" ht="25.5">
      <c r="A122" s="707" t="s">
        <v>312</v>
      </c>
      <c r="B122" s="718"/>
      <c r="C122" s="709" t="s">
        <v>17</v>
      </c>
      <c r="D122" s="562" t="s">
        <v>280</v>
      </c>
      <c r="E122" s="613" t="s">
        <v>279</v>
      </c>
      <c r="F122" s="709" t="s">
        <v>218</v>
      </c>
      <c r="G122" s="719">
        <v>2.48</v>
      </c>
      <c r="H122" s="565">
        <f t="shared" si="10"/>
        <v>140.478</v>
      </c>
      <c r="I122" s="565">
        <f t="shared" si="9"/>
        <v>172.59127080000002</v>
      </c>
      <c r="J122" s="566">
        <f>I122*G122</f>
        <v>428.02635158400005</v>
      </c>
      <c r="K122" s="712"/>
      <c r="L122" s="705"/>
      <c r="M122" s="568">
        <v>0.65</v>
      </c>
      <c r="N122" s="706">
        <v>216.12</v>
      </c>
      <c r="O122" s="705"/>
      <c r="P122" s="522"/>
    </row>
    <row r="123" spans="1:16" ht="76.5">
      <c r="A123" s="707" t="s">
        <v>313</v>
      </c>
      <c r="B123" s="720"/>
      <c r="C123" s="709" t="s">
        <v>17</v>
      </c>
      <c r="D123" s="709" t="s">
        <v>241</v>
      </c>
      <c r="E123" s="710" t="s">
        <v>242</v>
      </c>
      <c r="F123" s="709" t="s">
        <v>328</v>
      </c>
      <c r="G123" s="721">
        <v>2</v>
      </c>
      <c r="H123" s="565">
        <f t="shared" si="10"/>
        <v>182.67600000000002</v>
      </c>
      <c r="I123" s="565">
        <f t="shared" si="9"/>
        <v>224.43573360000002</v>
      </c>
      <c r="J123" s="566">
        <f t="shared" si="8"/>
        <v>448.87146720000004</v>
      </c>
      <c r="K123" s="722"/>
      <c r="L123" s="705"/>
      <c r="M123" s="568">
        <v>0.65</v>
      </c>
      <c r="N123" s="706">
        <v>281.04</v>
      </c>
      <c r="O123" s="705"/>
      <c r="P123" s="522"/>
    </row>
    <row r="124" spans="1:16" ht="51">
      <c r="A124" s="707" t="s">
        <v>314</v>
      </c>
      <c r="B124" s="720"/>
      <c r="C124" s="709" t="s">
        <v>17</v>
      </c>
      <c r="D124" s="709" t="s">
        <v>243</v>
      </c>
      <c r="E124" s="710" t="s">
        <v>244</v>
      </c>
      <c r="F124" s="709" t="s">
        <v>328</v>
      </c>
      <c r="G124" s="721">
        <v>2</v>
      </c>
      <c r="H124" s="565">
        <f t="shared" si="10"/>
        <v>100.63950000000001</v>
      </c>
      <c r="I124" s="723">
        <v>154.83</v>
      </c>
      <c r="J124" s="566">
        <f t="shared" si="8"/>
        <v>309.66</v>
      </c>
      <c r="K124" s="712"/>
      <c r="L124" s="705"/>
      <c r="M124" s="568">
        <v>0.65</v>
      </c>
      <c r="N124" s="706">
        <v>154.83</v>
      </c>
      <c r="O124" s="705"/>
      <c r="P124" s="522"/>
    </row>
    <row r="125" spans="1:15" ht="51">
      <c r="A125" s="707" t="s">
        <v>315</v>
      </c>
      <c r="B125" s="720"/>
      <c r="C125" s="709" t="s">
        <v>17</v>
      </c>
      <c r="D125" s="709" t="s">
        <v>248</v>
      </c>
      <c r="E125" s="710" t="s">
        <v>249</v>
      </c>
      <c r="F125" s="709" t="s">
        <v>328</v>
      </c>
      <c r="G125" s="721">
        <v>1</v>
      </c>
      <c r="H125" s="565">
        <f t="shared" si="10"/>
        <v>159.783</v>
      </c>
      <c r="I125" s="565">
        <f t="shared" si="9"/>
        <v>196.30939379999998</v>
      </c>
      <c r="J125" s="566">
        <f t="shared" si="8"/>
        <v>196.30939379999998</v>
      </c>
      <c r="K125" s="724"/>
      <c r="L125" s="705"/>
      <c r="M125" s="568">
        <v>0.65</v>
      </c>
      <c r="N125" s="706">
        <v>245.82</v>
      </c>
      <c r="O125" s="705"/>
    </row>
    <row r="126" spans="1:15" ht="12.75">
      <c r="A126" s="707" t="s">
        <v>316</v>
      </c>
      <c r="B126" s="720"/>
      <c r="C126" s="709" t="s">
        <v>17</v>
      </c>
      <c r="D126" s="725" t="s">
        <v>274</v>
      </c>
      <c r="E126" s="726" t="s">
        <v>273</v>
      </c>
      <c r="F126" s="709" t="s">
        <v>328</v>
      </c>
      <c r="G126" s="721">
        <v>4</v>
      </c>
      <c r="H126" s="565">
        <f t="shared" si="10"/>
        <v>17.660500000000003</v>
      </c>
      <c r="I126" s="565">
        <f>(H126*$K$10)+H126</f>
        <v>21.697690300000005</v>
      </c>
      <c r="J126" s="566">
        <f t="shared" si="8"/>
        <v>86.79076120000002</v>
      </c>
      <c r="K126" s="724"/>
      <c r="L126" s="705"/>
      <c r="M126" s="568">
        <v>0.65</v>
      </c>
      <c r="N126" s="706">
        <v>27.17</v>
      </c>
      <c r="O126" s="705"/>
    </row>
    <row r="127" spans="1:15" s="581" customFormat="1" ht="12.75">
      <c r="A127" s="689"/>
      <c r="B127" s="690"/>
      <c r="C127" s="691"/>
      <c r="D127" s="691"/>
      <c r="E127" s="588" t="s">
        <v>53</v>
      </c>
      <c r="F127" s="588"/>
      <c r="G127" s="578"/>
      <c r="H127" s="578"/>
      <c r="I127" s="578"/>
      <c r="J127" s="579">
        <f>SUM(J112:J126)</f>
        <v>3680.338769484</v>
      </c>
      <c r="K127" s="692">
        <f>K109+J127</f>
        <v>638943.188113414</v>
      </c>
      <c r="L127" s="727"/>
      <c r="M127" s="568">
        <v>0.65</v>
      </c>
      <c r="N127" s="728"/>
      <c r="O127" s="729"/>
    </row>
    <row r="128" spans="1:15" ht="12.75">
      <c r="A128" s="730"/>
      <c r="B128" s="720"/>
      <c r="C128" s="709"/>
      <c r="D128" s="709"/>
      <c r="E128" s="630"/>
      <c r="F128" s="630"/>
      <c r="G128" s="565"/>
      <c r="H128" s="565"/>
      <c r="I128" s="565"/>
      <c r="J128" s="618"/>
      <c r="K128" s="731"/>
      <c r="L128" s="732"/>
      <c r="M128" s="568">
        <v>0.65</v>
      </c>
      <c r="N128" s="706"/>
      <c r="O128" s="705"/>
    </row>
    <row r="129" spans="1:15" ht="12.75">
      <c r="A129" s="699">
        <v>12</v>
      </c>
      <c r="B129" s="690"/>
      <c r="C129" s="691"/>
      <c r="D129" s="691"/>
      <c r="E129" s="701" t="s">
        <v>489</v>
      </c>
      <c r="F129" s="691"/>
      <c r="G129" s="702"/>
      <c r="H129" s="578"/>
      <c r="I129" s="702"/>
      <c r="J129" s="733"/>
      <c r="K129" s="734"/>
      <c r="L129" s="732"/>
      <c r="M129" s="568">
        <v>0.65</v>
      </c>
      <c r="N129" s="706"/>
      <c r="O129" s="705"/>
    </row>
    <row r="130" spans="1:15" ht="12.75">
      <c r="A130" s="730" t="s">
        <v>317</v>
      </c>
      <c r="B130" s="720"/>
      <c r="C130" s="735" t="s">
        <v>17</v>
      </c>
      <c r="D130" s="736" t="s">
        <v>256</v>
      </c>
      <c r="E130" s="737" t="s">
        <v>255</v>
      </c>
      <c r="F130" s="735" t="s">
        <v>328</v>
      </c>
      <c r="G130" s="738">
        <v>1</v>
      </c>
      <c r="H130" s="565">
        <f aca="true" t="shared" si="11" ref="H130:H137">N130*M130</f>
        <v>34.6775</v>
      </c>
      <c r="I130" s="675">
        <f aca="true" t="shared" si="12" ref="I130:I135">(H130*$K$10)+H130</f>
        <v>42.6047765</v>
      </c>
      <c r="J130" s="566">
        <f aca="true" t="shared" si="13" ref="J130:J135">I130*G130</f>
        <v>42.6047765</v>
      </c>
      <c r="K130" s="731"/>
      <c r="L130" s="732"/>
      <c r="M130" s="568">
        <v>0.65</v>
      </c>
      <c r="N130" s="706">
        <v>53.35</v>
      </c>
      <c r="O130" s="705"/>
    </row>
    <row r="131" spans="1:15" ht="63.75">
      <c r="A131" s="730" t="s">
        <v>318</v>
      </c>
      <c r="B131" s="720"/>
      <c r="C131" s="709" t="s">
        <v>17</v>
      </c>
      <c r="D131" s="651" t="s">
        <v>264</v>
      </c>
      <c r="E131" s="663" t="s">
        <v>263</v>
      </c>
      <c r="F131" s="709" t="s">
        <v>218</v>
      </c>
      <c r="G131" s="565">
        <v>5.04</v>
      </c>
      <c r="H131" s="565">
        <f t="shared" si="11"/>
        <v>196.599</v>
      </c>
      <c r="I131" s="565">
        <f t="shared" si="12"/>
        <v>241.5415314</v>
      </c>
      <c r="J131" s="566">
        <f t="shared" si="13"/>
        <v>1217.369318256</v>
      </c>
      <c r="K131" s="731"/>
      <c r="L131" s="732"/>
      <c r="M131" s="568">
        <v>0.65</v>
      </c>
      <c r="N131" s="706">
        <v>302.46</v>
      </c>
      <c r="O131" s="705"/>
    </row>
    <row r="132" spans="1:15" ht="38.25">
      <c r="A132" s="730" t="s">
        <v>319</v>
      </c>
      <c r="B132" s="720"/>
      <c r="C132" s="709" t="s">
        <v>17</v>
      </c>
      <c r="D132" s="662" t="s">
        <v>268</v>
      </c>
      <c r="E132" s="663" t="s">
        <v>267</v>
      </c>
      <c r="F132" s="709" t="s">
        <v>218</v>
      </c>
      <c r="G132" s="565">
        <v>7.98</v>
      </c>
      <c r="H132" s="565">
        <f t="shared" si="11"/>
        <v>586.9175</v>
      </c>
      <c r="I132" s="565">
        <f>(H132*$K$10)+H132</f>
        <v>721.0868405</v>
      </c>
      <c r="J132" s="566">
        <f>I132*G132</f>
        <v>5754.27298719</v>
      </c>
      <c r="K132" s="731"/>
      <c r="L132" s="732"/>
      <c r="M132" s="568">
        <v>0.65</v>
      </c>
      <c r="N132" s="706">
        <v>902.95</v>
      </c>
      <c r="O132" s="705"/>
    </row>
    <row r="133" spans="1:15" ht="25.5">
      <c r="A133" s="730" t="s">
        <v>320</v>
      </c>
      <c r="B133" s="720"/>
      <c r="C133" s="709" t="s">
        <v>17</v>
      </c>
      <c r="D133" s="651" t="s">
        <v>270</v>
      </c>
      <c r="E133" s="683" t="s">
        <v>269</v>
      </c>
      <c r="F133" s="709" t="s">
        <v>218</v>
      </c>
      <c r="G133" s="738">
        <v>2.52</v>
      </c>
      <c r="H133" s="565">
        <f t="shared" si="11"/>
        <v>359.4175</v>
      </c>
      <c r="I133" s="565">
        <f t="shared" si="12"/>
        <v>441.58034050000003</v>
      </c>
      <c r="J133" s="566">
        <f t="shared" si="13"/>
        <v>1112.7824580600002</v>
      </c>
      <c r="K133" s="731"/>
      <c r="L133" s="732"/>
      <c r="M133" s="568">
        <v>0.65</v>
      </c>
      <c r="N133" s="706">
        <v>552.95</v>
      </c>
      <c r="O133" s="705"/>
    </row>
    <row r="134" spans="1:15" ht="25.5">
      <c r="A134" s="730" t="s">
        <v>321</v>
      </c>
      <c r="B134" s="720"/>
      <c r="C134" s="709" t="s">
        <v>17</v>
      </c>
      <c r="D134" s="739" t="s">
        <v>277</v>
      </c>
      <c r="E134" s="605" t="s">
        <v>278</v>
      </c>
      <c r="F134" s="709" t="s">
        <v>218</v>
      </c>
      <c r="G134" s="740">
        <v>1.44</v>
      </c>
      <c r="H134" s="565">
        <f t="shared" si="11"/>
        <v>75.65350000000001</v>
      </c>
      <c r="I134" s="565">
        <f t="shared" si="12"/>
        <v>92.94789010000001</v>
      </c>
      <c r="J134" s="566">
        <f t="shared" si="13"/>
        <v>133.84496174400002</v>
      </c>
      <c r="K134" s="731"/>
      <c r="L134" s="732"/>
      <c r="M134" s="568">
        <v>0.65</v>
      </c>
      <c r="N134" s="706">
        <v>116.39</v>
      </c>
      <c r="O134" s="705"/>
    </row>
    <row r="135" spans="1:15" ht="25.5">
      <c r="A135" s="730" t="s">
        <v>322</v>
      </c>
      <c r="B135" s="720"/>
      <c r="C135" s="709" t="s">
        <v>17</v>
      </c>
      <c r="D135" s="562" t="s">
        <v>276</v>
      </c>
      <c r="E135" s="642" t="s">
        <v>275</v>
      </c>
      <c r="F135" s="709" t="s">
        <v>218</v>
      </c>
      <c r="G135" s="565">
        <v>0.27</v>
      </c>
      <c r="H135" s="565">
        <f t="shared" si="11"/>
        <v>225.5565</v>
      </c>
      <c r="I135" s="565">
        <f t="shared" si="12"/>
        <v>277.1187159</v>
      </c>
      <c r="J135" s="566">
        <f t="shared" si="13"/>
        <v>74.822053293</v>
      </c>
      <c r="K135" s="731"/>
      <c r="L135" s="732"/>
      <c r="M135" s="568">
        <v>0.65</v>
      </c>
      <c r="N135" s="706">
        <v>347.01</v>
      </c>
      <c r="O135" s="705"/>
    </row>
    <row r="136" spans="1:15" ht="63.75">
      <c r="A136" s="730" t="s">
        <v>323</v>
      </c>
      <c r="B136" s="720"/>
      <c r="C136" s="593" t="s">
        <v>17</v>
      </c>
      <c r="D136" s="651" t="s">
        <v>266</v>
      </c>
      <c r="E136" s="741" t="s">
        <v>265</v>
      </c>
      <c r="F136" s="594" t="s">
        <v>328</v>
      </c>
      <c r="G136" s="565">
        <v>1</v>
      </c>
      <c r="H136" s="565">
        <f t="shared" si="11"/>
        <v>107.601</v>
      </c>
      <c r="I136" s="565">
        <f>(H136*$K$10)+H136</f>
        <v>132.1985886</v>
      </c>
      <c r="J136" s="566">
        <f>I136*G136</f>
        <v>132.1985886</v>
      </c>
      <c r="K136" s="584"/>
      <c r="L136" s="732"/>
      <c r="M136" s="568">
        <v>0.65</v>
      </c>
      <c r="N136" s="706">
        <v>165.54</v>
      </c>
      <c r="O136" s="705"/>
    </row>
    <row r="137" spans="1:15" ht="25.5">
      <c r="A137" s="730" t="s">
        <v>324</v>
      </c>
      <c r="B137" s="720"/>
      <c r="C137" s="593" t="s">
        <v>17</v>
      </c>
      <c r="D137" s="562" t="s">
        <v>288</v>
      </c>
      <c r="E137" s="614" t="s">
        <v>287</v>
      </c>
      <c r="F137" s="594" t="s">
        <v>172</v>
      </c>
      <c r="G137" s="565">
        <f>3.42*4</f>
        <v>13.68</v>
      </c>
      <c r="H137" s="565">
        <f t="shared" si="11"/>
        <v>53.43000000000001</v>
      </c>
      <c r="I137" s="565">
        <f>(H137*$K$10)+H137</f>
        <v>65.64409800000001</v>
      </c>
      <c r="J137" s="566">
        <f>I137*G137</f>
        <v>898.0112606400002</v>
      </c>
      <c r="K137" s="584"/>
      <c r="L137" s="732"/>
      <c r="M137" s="568">
        <v>0.65</v>
      </c>
      <c r="N137" s="706">
        <v>82.2</v>
      </c>
      <c r="O137" s="705"/>
    </row>
    <row r="138" spans="1:15" s="581" customFormat="1" ht="12.75">
      <c r="A138" s="689"/>
      <c r="B138" s="690"/>
      <c r="C138" s="691"/>
      <c r="D138" s="691"/>
      <c r="E138" s="588" t="s">
        <v>53</v>
      </c>
      <c r="F138" s="588"/>
      <c r="G138" s="578"/>
      <c r="H138" s="578"/>
      <c r="I138" s="578"/>
      <c r="J138" s="579">
        <f>SUM(J130:J137)</f>
        <v>9365.906404283001</v>
      </c>
      <c r="K138" s="692">
        <f>K127+J138</f>
        <v>648309.094517697</v>
      </c>
      <c r="L138" s="727"/>
      <c r="M138" s="568">
        <v>0.65</v>
      </c>
      <c r="N138" s="728"/>
      <c r="O138" s="729"/>
    </row>
    <row r="139" spans="1:15" ht="12.75">
      <c r="A139" s="730"/>
      <c r="B139" s="720"/>
      <c r="C139" s="709"/>
      <c r="D139" s="709"/>
      <c r="E139" s="630"/>
      <c r="F139" s="630"/>
      <c r="G139" s="565"/>
      <c r="H139" s="565"/>
      <c r="I139" s="565"/>
      <c r="J139" s="618"/>
      <c r="K139" s="731"/>
      <c r="L139" s="732"/>
      <c r="M139" s="568">
        <v>0.65</v>
      </c>
      <c r="N139" s="706"/>
      <c r="O139" s="705"/>
    </row>
    <row r="140" spans="1:15" ht="12.75">
      <c r="A140" s="699">
        <v>13</v>
      </c>
      <c r="B140" s="690"/>
      <c r="C140" s="691"/>
      <c r="D140" s="691"/>
      <c r="E140" s="588" t="s">
        <v>491</v>
      </c>
      <c r="F140" s="588"/>
      <c r="G140" s="578"/>
      <c r="H140" s="578"/>
      <c r="I140" s="578"/>
      <c r="J140" s="579"/>
      <c r="K140" s="692"/>
      <c r="L140" s="732"/>
      <c r="M140" s="568">
        <v>0.65</v>
      </c>
      <c r="N140" s="706"/>
      <c r="O140" s="705"/>
    </row>
    <row r="141" spans="1:15" ht="38.25">
      <c r="A141" s="730" t="s">
        <v>325</v>
      </c>
      <c r="B141" s="720"/>
      <c r="C141" s="593" t="s">
        <v>17</v>
      </c>
      <c r="D141" s="651" t="s">
        <v>290</v>
      </c>
      <c r="E141" s="683" t="s">
        <v>289</v>
      </c>
      <c r="F141" s="742" t="s">
        <v>218</v>
      </c>
      <c r="G141" s="565">
        <f>3.85*4</f>
        <v>15.4</v>
      </c>
      <c r="H141" s="743">
        <f>N141*M141</f>
        <v>132.912</v>
      </c>
      <c r="I141" s="565">
        <f>(H141*$K$10)+H141</f>
        <v>163.2956832</v>
      </c>
      <c r="J141" s="566">
        <f>I141*G141</f>
        <v>2514.7535212800003</v>
      </c>
      <c r="K141" s="731"/>
      <c r="L141" s="732"/>
      <c r="M141" s="568">
        <v>0.65</v>
      </c>
      <c r="N141" s="706">
        <v>204.48</v>
      </c>
      <c r="O141" s="705"/>
    </row>
    <row r="142" spans="1:15" ht="38.25">
      <c r="A142" s="730" t="s">
        <v>326</v>
      </c>
      <c r="B142" s="720"/>
      <c r="C142" s="593" t="s">
        <v>17</v>
      </c>
      <c r="D142" s="562" t="s">
        <v>291</v>
      </c>
      <c r="E142" s="605" t="s">
        <v>330</v>
      </c>
      <c r="F142" s="742" t="s">
        <v>218</v>
      </c>
      <c r="G142" s="565">
        <v>71.02</v>
      </c>
      <c r="H142" s="723">
        <v>262.06</v>
      </c>
      <c r="I142" s="565">
        <f>(H142*$K$10)+H142</f>
        <v>321.966916</v>
      </c>
      <c r="J142" s="566">
        <f>I142*G142</f>
        <v>22866.09037432</v>
      </c>
      <c r="K142" s="731"/>
      <c r="L142" s="732"/>
      <c r="M142" s="568">
        <v>0.65</v>
      </c>
      <c r="N142" s="706">
        <v>262.06</v>
      </c>
      <c r="O142" s="705"/>
    </row>
    <row r="143" spans="1:15" s="581" customFormat="1" ht="12.75">
      <c r="A143" s="689"/>
      <c r="B143" s="690"/>
      <c r="C143" s="691"/>
      <c r="D143" s="691"/>
      <c r="E143" s="588" t="s">
        <v>53</v>
      </c>
      <c r="F143" s="588"/>
      <c r="G143" s="578"/>
      <c r="H143" s="578"/>
      <c r="I143" s="578"/>
      <c r="J143" s="579">
        <f>SUM(J141:J142)</f>
        <v>25380.8438956</v>
      </c>
      <c r="K143" s="692">
        <f>K138+J143</f>
        <v>673689.938413297</v>
      </c>
      <c r="L143" s="727"/>
      <c r="M143" s="568">
        <v>0.65</v>
      </c>
      <c r="N143" s="728"/>
      <c r="O143" s="729"/>
    </row>
    <row r="144" spans="1:15" ht="12.75">
      <c r="A144" s="744"/>
      <c r="B144" s="745"/>
      <c r="C144" s="746"/>
      <c r="D144" s="746"/>
      <c r="E144" s="746"/>
      <c r="F144" s="746"/>
      <c r="G144" s="721"/>
      <c r="H144" s="565"/>
      <c r="I144" s="721"/>
      <c r="J144" s="746"/>
      <c r="K144" s="747"/>
      <c r="L144" s="705"/>
      <c r="M144" s="568">
        <v>0.65</v>
      </c>
      <c r="N144" s="705"/>
      <c r="O144" s="705"/>
    </row>
    <row r="145" spans="1:15" ht="12.75">
      <c r="A145" s="699">
        <v>14</v>
      </c>
      <c r="B145" s="700"/>
      <c r="C145" s="691"/>
      <c r="D145" s="691"/>
      <c r="E145" s="701" t="s">
        <v>89</v>
      </c>
      <c r="F145" s="691"/>
      <c r="G145" s="702"/>
      <c r="H145" s="578"/>
      <c r="I145" s="702"/>
      <c r="J145" s="733"/>
      <c r="K145" s="734"/>
      <c r="L145" s="705"/>
      <c r="M145" s="568">
        <v>0.65</v>
      </c>
      <c r="N145" s="705"/>
      <c r="O145" s="705"/>
    </row>
    <row r="146" spans="1:15" ht="12.75">
      <c r="A146" s="730" t="s">
        <v>499</v>
      </c>
      <c r="B146" s="720"/>
      <c r="C146" s="709" t="s">
        <v>17</v>
      </c>
      <c r="D146" s="709" t="s">
        <v>91</v>
      </c>
      <c r="E146" s="710" t="s">
        <v>92</v>
      </c>
      <c r="F146" s="709" t="s">
        <v>218</v>
      </c>
      <c r="G146" s="721">
        <v>470</v>
      </c>
      <c r="H146" s="565">
        <f>N146*M146</f>
        <v>3.1330000000000005</v>
      </c>
      <c r="I146" s="565">
        <f>(H146*$K$10)+H146</f>
        <v>3.8492038000000006</v>
      </c>
      <c r="J146" s="566">
        <f>I146*G146</f>
        <v>1809.1257860000003</v>
      </c>
      <c r="K146" s="722"/>
      <c r="L146" s="705"/>
      <c r="M146" s="568">
        <v>0.65</v>
      </c>
      <c r="N146" s="706">
        <v>4.82</v>
      </c>
      <c r="O146" s="705"/>
    </row>
    <row r="147" spans="1:15" s="581" customFormat="1" ht="12.75">
      <c r="A147" s="699"/>
      <c r="B147" s="700"/>
      <c r="C147" s="691"/>
      <c r="D147" s="691"/>
      <c r="E147" s="588" t="s">
        <v>53</v>
      </c>
      <c r="F147" s="588"/>
      <c r="G147" s="578"/>
      <c r="H147" s="578"/>
      <c r="I147" s="578"/>
      <c r="J147" s="579">
        <f>SUM(J146:J146)</f>
        <v>1809.1257860000003</v>
      </c>
      <c r="K147" s="692">
        <f>K143+J147</f>
        <v>675499.064199297</v>
      </c>
      <c r="L147" s="729"/>
      <c r="M147" s="568">
        <v>0.65</v>
      </c>
      <c r="N147" s="729"/>
      <c r="O147" s="729"/>
    </row>
    <row r="148" spans="1:15" ht="13.5" thickBot="1">
      <c r="A148" s="748"/>
      <c r="B148" s="749"/>
      <c r="C148" s="749"/>
      <c r="D148" s="749"/>
      <c r="E148" s="749"/>
      <c r="F148" s="749"/>
      <c r="G148" s="749"/>
      <c r="H148" s="749"/>
      <c r="I148" s="749"/>
      <c r="J148" s="749"/>
      <c r="K148" s="750"/>
      <c r="L148" s="705"/>
      <c r="M148" s="568">
        <v>0.65</v>
      </c>
      <c r="N148" s="705"/>
      <c r="O148" s="705"/>
    </row>
    <row r="149" spans="1:15" ht="31.5" customHeight="1" thickBot="1">
      <c r="A149" s="751" t="s">
        <v>337</v>
      </c>
      <c r="B149" s="752"/>
      <c r="C149" s="752"/>
      <c r="D149" s="752"/>
      <c r="E149" s="752"/>
      <c r="F149" s="752"/>
      <c r="G149" s="752"/>
      <c r="H149" s="752"/>
      <c r="I149" s="753"/>
      <c r="J149" s="754">
        <f>K147</f>
        <v>675499.064199297</v>
      </c>
      <c r="K149" s="755"/>
      <c r="L149" s="705"/>
      <c r="M149" s="568">
        <v>0.65</v>
      </c>
      <c r="N149" s="705"/>
      <c r="O149" s="705"/>
    </row>
    <row r="150" spans="1:15" ht="12.75" customHeight="1" thickBot="1">
      <c r="A150" s="756"/>
      <c r="B150" s="756"/>
      <c r="C150" s="756"/>
      <c r="D150" s="756"/>
      <c r="E150" s="756"/>
      <c r="F150" s="756"/>
      <c r="G150" s="756"/>
      <c r="H150" s="756"/>
      <c r="I150" s="756"/>
      <c r="J150" s="757"/>
      <c r="K150" s="757"/>
      <c r="L150" s="705"/>
      <c r="M150" s="568">
        <v>0.65</v>
      </c>
      <c r="N150" s="705"/>
      <c r="O150" s="705"/>
    </row>
    <row r="151" spans="1:16" ht="25.5" customHeight="1" thickBot="1">
      <c r="A151" s="758" t="s">
        <v>398</v>
      </c>
      <c r="B151" s="759"/>
      <c r="C151" s="759"/>
      <c r="D151" s="759"/>
      <c r="E151" s="759"/>
      <c r="F151" s="759"/>
      <c r="G151" s="759"/>
      <c r="H151" s="759"/>
      <c r="I151" s="759"/>
      <c r="J151" s="759"/>
      <c r="K151" s="760"/>
      <c r="L151" s="522"/>
      <c r="M151" s="568">
        <v>0.65</v>
      </c>
      <c r="N151" s="522"/>
      <c r="O151" s="522"/>
      <c r="P151" s="522"/>
    </row>
    <row r="152" spans="1:16" s="540" customFormat="1" ht="15" customHeight="1" thickBot="1">
      <c r="A152" s="761"/>
      <c r="B152" s="762"/>
      <c r="C152" s="762"/>
      <c r="D152" s="762"/>
      <c r="E152" s="762"/>
      <c r="F152" s="762"/>
      <c r="G152" s="762"/>
      <c r="H152" s="762"/>
      <c r="I152" s="762"/>
      <c r="J152" s="762"/>
      <c r="K152" s="763"/>
      <c r="L152" s="539"/>
      <c r="M152" s="568">
        <v>0.65</v>
      </c>
      <c r="N152" s="539"/>
      <c r="O152" s="539"/>
      <c r="P152" s="539"/>
    </row>
    <row r="153" spans="1:16" ht="25.5">
      <c r="A153" s="764" t="s">
        <v>5</v>
      </c>
      <c r="B153" s="765"/>
      <c r="C153" s="766" t="s">
        <v>6</v>
      </c>
      <c r="D153" s="766" t="s">
        <v>7</v>
      </c>
      <c r="E153" s="767" t="s">
        <v>8</v>
      </c>
      <c r="F153" s="767" t="s">
        <v>9</v>
      </c>
      <c r="G153" s="768" t="s">
        <v>10</v>
      </c>
      <c r="H153" s="768" t="s">
        <v>11</v>
      </c>
      <c r="I153" s="768" t="s">
        <v>12</v>
      </c>
      <c r="J153" s="767" t="s">
        <v>13</v>
      </c>
      <c r="K153" s="769" t="s">
        <v>14</v>
      </c>
      <c r="L153" s="522"/>
      <c r="M153" s="568">
        <v>0.65</v>
      </c>
      <c r="N153" s="522"/>
      <c r="O153" s="522"/>
      <c r="P153" s="522"/>
    </row>
    <row r="154" spans="1:16" ht="12.75">
      <c r="A154" s="770">
        <v>1</v>
      </c>
      <c r="B154" s="771"/>
      <c r="C154" s="772"/>
      <c r="D154" s="772"/>
      <c r="E154" s="773" t="s">
        <v>24</v>
      </c>
      <c r="F154" s="773"/>
      <c r="G154" s="774"/>
      <c r="H154" s="774"/>
      <c r="I154" s="774"/>
      <c r="J154" s="775"/>
      <c r="K154" s="776"/>
      <c r="L154" s="522"/>
      <c r="M154" s="568">
        <v>0.65</v>
      </c>
      <c r="N154" s="522"/>
      <c r="O154" s="522"/>
      <c r="P154" s="535"/>
    </row>
    <row r="155" spans="1:16" ht="12.75">
      <c r="A155" s="777" t="s">
        <v>16</v>
      </c>
      <c r="B155" s="778"/>
      <c r="C155" s="779"/>
      <c r="D155" s="779"/>
      <c r="E155" s="780" t="s">
        <v>39</v>
      </c>
      <c r="F155" s="780"/>
      <c r="G155" s="774"/>
      <c r="H155" s="774"/>
      <c r="I155" s="774"/>
      <c r="J155" s="781"/>
      <c r="K155" s="782"/>
      <c r="L155" s="522"/>
      <c r="M155" s="568">
        <v>0.65</v>
      </c>
      <c r="N155" s="522"/>
      <c r="O155" s="522"/>
      <c r="P155" s="535"/>
    </row>
    <row r="156" spans="1:16" ht="51">
      <c r="A156" s="783" t="s">
        <v>338</v>
      </c>
      <c r="B156" s="784"/>
      <c r="C156" s="785" t="s">
        <v>41</v>
      </c>
      <c r="D156" s="785">
        <v>92441</v>
      </c>
      <c r="E156" s="786" t="s">
        <v>42</v>
      </c>
      <c r="F156" s="785" t="s">
        <v>19</v>
      </c>
      <c r="G156" s="787">
        <f>310.4*0.78</f>
        <v>242.112</v>
      </c>
      <c r="H156" s="787">
        <f>N156*M156</f>
        <v>30.283500000000004</v>
      </c>
      <c r="I156" s="787">
        <f>(H156*$K$10)+H156</f>
        <v>37.2063081</v>
      </c>
      <c r="J156" s="788">
        <f>I156*G156</f>
        <v>9008.0936667072</v>
      </c>
      <c r="K156" s="789"/>
      <c r="L156" s="597"/>
      <c r="M156" s="568">
        <v>0.65</v>
      </c>
      <c r="N156" s="569">
        <v>46.59</v>
      </c>
      <c r="O156" s="522"/>
      <c r="P156" s="535">
        <f aca="true" t="shared" si="14" ref="P156:P186">J156</f>
        <v>9008.0936667072</v>
      </c>
    </row>
    <row r="157" spans="1:16" ht="25.5">
      <c r="A157" s="783" t="s">
        <v>339</v>
      </c>
      <c r="B157" s="784"/>
      <c r="C157" s="785" t="s">
        <v>17</v>
      </c>
      <c r="D157" s="785" t="s">
        <v>32</v>
      </c>
      <c r="E157" s="790" t="s">
        <v>33</v>
      </c>
      <c r="F157" s="785" t="s">
        <v>34</v>
      </c>
      <c r="G157" s="787">
        <f>3061.7*0.88</f>
        <v>2694.296</v>
      </c>
      <c r="H157" s="787">
        <f>N157*M157</f>
        <v>8.424000000000001</v>
      </c>
      <c r="I157" s="787">
        <f>(H157*$K$10)+H157</f>
        <v>10.349726400000002</v>
      </c>
      <c r="J157" s="788">
        <f>I157*G157</f>
        <v>27885.226440614402</v>
      </c>
      <c r="K157" s="789"/>
      <c r="L157" s="597"/>
      <c r="M157" s="568">
        <v>0.65</v>
      </c>
      <c r="N157" s="569">
        <v>12.96</v>
      </c>
      <c r="O157" s="522"/>
      <c r="P157" s="535">
        <f t="shared" si="14"/>
        <v>27885.226440614402</v>
      </c>
    </row>
    <row r="158" spans="1:16" ht="38.25">
      <c r="A158" s="783" t="s">
        <v>340</v>
      </c>
      <c r="B158" s="791"/>
      <c r="C158" s="792" t="s">
        <v>17</v>
      </c>
      <c r="D158" s="792" t="s">
        <v>45</v>
      </c>
      <c r="E158" s="793" t="s">
        <v>37</v>
      </c>
      <c r="F158" s="785" t="s">
        <v>30</v>
      </c>
      <c r="G158" s="787">
        <f>21.8*0.78</f>
        <v>17.004</v>
      </c>
      <c r="H158" s="787">
        <f>N158*M158</f>
        <v>273.611</v>
      </c>
      <c r="I158" s="787">
        <f>(H158*$K$10)+H158</f>
        <v>336.1584746</v>
      </c>
      <c r="J158" s="788">
        <f>I158*G158</f>
        <v>5716.0387020984</v>
      </c>
      <c r="K158" s="794"/>
      <c r="L158" s="597"/>
      <c r="M158" s="568">
        <v>0.65</v>
      </c>
      <c r="N158" s="569">
        <v>420.94</v>
      </c>
      <c r="O158" s="522"/>
      <c r="P158" s="535">
        <f t="shared" si="14"/>
        <v>5716.0387020984</v>
      </c>
    </row>
    <row r="159" spans="1:16" ht="12.75">
      <c r="A159" s="777" t="s">
        <v>20</v>
      </c>
      <c r="B159" s="778"/>
      <c r="C159" s="779"/>
      <c r="D159" s="779"/>
      <c r="E159" s="780" t="s">
        <v>47</v>
      </c>
      <c r="F159" s="780"/>
      <c r="G159" s="774"/>
      <c r="H159" s="774"/>
      <c r="I159" s="774"/>
      <c r="J159" s="781"/>
      <c r="K159" s="782"/>
      <c r="L159" s="597"/>
      <c r="M159" s="568">
        <v>0.65</v>
      </c>
      <c r="N159" s="522"/>
      <c r="O159" s="522"/>
      <c r="P159" s="535"/>
    </row>
    <row r="160" spans="1:16" ht="51">
      <c r="A160" s="783" t="s">
        <v>341</v>
      </c>
      <c r="B160" s="784"/>
      <c r="C160" s="785" t="s">
        <v>41</v>
      </c>
      <c r="D160" s="785">
        <v>92453</v>
      </c>
      <c r="E160" s="786" t="s">
        <v>49</v>
      </c>
      <c r="F160" s="785" t="s">
        <v>19</v>
      </c>
      <c r="G160" s="787">
        <f>624.1*0.78</f>
        <v>486.79800000000006</v>
      </c>
      <c r="H160" s="787">
        <f>N160*M160</f>
        <v>117.68900000000001</v>
      </c>
      <c r="I160" s="787">
        <f>(H160*$K$10)+H160</f>
        <v>144.5927054</v>
      </c>
      <c r="J160" s="788">
        <f>I160*G160</f>
        <v>70387.43980330921</v>
      </c>
      <c r="K160" s="789"/>
      <c r="L160" s="597"/>
      <c r="M160" s="568">
        <v>0.65</v>
      </c>
      <c r="N160" s="569">
        <v>181.06</v>
      </c>
      <c r="O160" s="522"/>
      <c r="P160" s="535">
        <f t="shared" si="14"/>
        <v>70387.43980330921</v>
      </c>
    </row>
    <row r="161" spans="1:16" s="612" customFormat="1" ht="25.5">
      <c r="A161" s="783" t="s">
        <v>342</v>
      </c>
      <c r="B161" s="784"/>
      <c r="C161" s="785" t="s">
        <v>17</v>
      </c>
      <c r="D161" s="785" t="s">
        <v>32</v>
      </c>
      <c r="E161" s="790" t="s">
        <v>33</v>
      </c>
      <c r="F161" s="785" t="s">
        <v>34</v>
      </c>
      <c r="G161" s="787">
        <f>4449.5*0.78</f>
        <v>3470.61</v>
      </c>
      <c r="H161" s="787">
        <f>N161*M161</f>
        <v>8.424000000000001</v>
      </c>
      <c r="I161" s="787">
        <f>(H161*$K$10)+H161</f>
        <v>10.349726400000002</v>
      </c>
      <c r="J161" s="788">
        <f>I161*G161</f>
        <v>35919.863941104006</v>
      </c>
      <c r="K161" s="789"/>
      <c r="L161" s="597"/>
      <c r="M161" s="568">
        <v>0.65</v>
      </c>
      <c r="N161" s="569">
        <v>12.96</v>
      </c>
      <c r="O161" s="522"/>
      <c r="P161" s="535">
        <f t="shared" si="14"/>
        <v>35919.863941104006</v>
      </c>
    </row>
    <row r="162" spans="1:16" ht="38.25">
      <c r="A162" s="783" t="s">
        <v>343</v>
      </c>
      <c r="B162" s="791"/>
      <c r="C162" s="795" t="s">
        <v>17</v>
      </c>
      <c r="D162" s="795" t="s">
        <v>45</v>
      </c>
      <c r="E162" s="786" t="s">
        <v>37</v>
      </c>
      <c r="F162" s="785" t="s">
        <v>30</v>
      </c>
      <c r="G162" s="787">
        <f>50.5*0.78</f>
        <v>39.39</v>
      </c>
      <c r="H162" s="787">
        <f>N162*M162</f>
        <v>273.611</v>
      </c>
      <c r="I162" s="787">
        <f>(H162*$K$10)+H162</f>
        <v>336.1584746</v>
      </c>
      <c r="J162" s="788">
        <f>I162*G162</f>
        <v>13241.282314494</v>
      </c>
      <c r="K162" s="794"/>
      <c r="L162" s="597"/>
      <c r="M162" s="568">
        <v>0.65</v>
      </c>
      <c r="N162" s="569">
        <v>420.94</v>
      </c>
      <c r="O162" s="522"/>
      <c r="P162" s="535">
        <f t="shared" si="14"/>
        <v>13241.282314494</v>
      </c>
    </row>
    <row r="163" spans="1:16" ht="12.75">
      <c r="A163" s="777" t="s">
        <v>191</v>
      </c>
      <c r="B163" s="796"/>
      <c r="C163" s="772"/>
      <c r="D163" s="772"/>
      <c r="E163" s="773" t="s">
        <v>207</v>
      </c>
      <c r="F163" s="779"/>
      <c r="G163" s="774"/>
      <c r="H163" s="774"/>
      <c r="I163" s="774"/>
      <c r="J163" s="781"/>
      <c r="K163" s="797"/>
      <c r="L163" s="597"/>
      <c r="M163" s="568">
        <v>0.65</v>
      </c>
      <c r="N163" s="569"/>
      <c r="O163" s="522"/>
      <c r="P163" s="535"/>
    </row>
    <row r="164" spans="1:16" ht="38.25">
      <c r="A164" s="783" t="s">
        <v>344</v>
      </c>
      <c r="B164" s="791"/>
      <c r="C164" s="795" t="s">
        <v>41</v>
      </c>
      <c r="D164" s="795">
        <v>101969</v>
      </c>
      <c r="E164" s="495" t="s">
        <v>345</v>
      </c>
      <c r="F164" s="785" t="s">
        <v>19</v>
      </c>
      <c r="G164" s="787">
        <v>27.5</v>
      </c>
      <c r="H164" s="787">
        <f>N164*M164</f>
        <v>86.307</v>
      </c>
      <c r="I164" s="787">
        <f>(H164*$K$10)+H164</f>
        <v>106.03678020000001</v>
      </c>
      <c r="J164" s="788">
        <f>I164*G164</f>
        <v>2916.0114555000005</v>
      </c>
      <c r="K164" s="794"/>
      <c r="L164" s="597"/>
      <c r="M164" s="568">
        <v>0.65</v>
      </c>
      <c r="N164" s="569">
        <v>132.78</v>
      </c>
      <c r="O164" s="522"/>
      <c r="P164" s="535">
        <f t="shared" si="14"/>
        <v>2916.0114555000005</v>
      </c>
    </row>
    <row r="165" spans="1:16" ht="51">
      <c r="A165" s="783" t="s">
        <v>346</v>
      </c>
      <c r="B165" s="791"/>
      <c r="C165" s="795" t="s">
        <v>41</v>
      </c>
      <c r="D165" s="795">
        <v>101977</v>
      </c>
      <c r="E165" s="495" t="s">
        <v>347</v>
      </c>
      <c r="F165" s="785" t="s">
        <v>19</v>
      </c>
      <c r="G165" s="787">
        <v>27.5</v>
      </c>
      <c r="H165" s="787">
        <f>N165*M165</f>
        <v>139.334</v>
      </c>
      <c r="I165" s="787">
        <f>(H165*$K$10)+H165</f>
        <v>171.1857524</v>
      </c>
      <c r="J165" s="788">
        <f>I165*G165</f>
        <v>4707.608191</v>
      </c>
      <c r="K165" s="794"/>
      <c r="L165" s="597"/>
      <c r="M165" s="568">
        <v>0.65</v>
      </c>
      <c r="N165" s="569">
        <v>214.36</v>
      </c>
      <c r="O165" s="522"/>
      <c r="P165" s="535">
        <f t="shared" si="14"/>
        <v>4707.608191</v>
      </c>
    </row>
    <row r="166" spans="1:16" ht="38.25">
      <c r="A166" s="783" t="s">
        <v>348</v>
      </c>
      <c r="B166" s="791"/>
      <c r="C166" s="795" t="s">
        <v>41</v>
      </c>
      <c r="D166" s="795">
        <v>95969</v>
      </c>
      <c r="E166" s="495" t="s">
        <v>349</v>
      </c>
      <c r="F166" s="785" t="s">
        <v>30</v>
      </c>
      <c r="G166" s="787">
        <v>3.2</v>
      </c>
      <c r="H166" s="787">
        <f>N166*M166</f>
        <v>1683.6885</v>
      </c>
      <c r="I166" s="787">
        <f>(H166*$K$10)+H166</f>
        <v>2068.5796910999998</v>
      </c>
      <c r="J166" s="788">
        <f>I166*G166</f>
        <v>6619.45501152</v>
      </c>
      <c r="K166" s="794"/>
      <c r="L166" s="597"/>
      <c r="M166" s="568">
        <v>0.65</v>
      </c>
      <c r="N166" s="569">
        <v>2590.29</v>
      </c>
      <c r="O166" s="522"/>
      <c r="P166" s="535">
        <f t="shared" si="14"/>
        <v>6619.45501152</v>
      </c>
    </row>
    <row r="167" spans="1:16" ht="25.5">
      <c r="A167" s="783" t="s">
        <v>350</v>
      </c>
      <c r="B167" s="791"/>
      <c r="C167" s="795" t="s">
        <v>17</v>
      </c>
      <c r="D167" s="795" t="s">
        <v>32</v>
      </c>
      <c r="E167" s="495" t="s">
        <v>33</v>
      </c>
      <c r="F167" s="785" t="s">
        <v>34</v>
      </c>
      <c r="G167" s="787">
        <v>199.9</v>
      </c>
      <c r="H167" s="787">
        <f>N167*M167</f>
        <v>8.424000000000001</v>
      </c>
      <c r="I167" s="787">
        <f>(H167*$K$10)+H167</f>
        <v>10.349726400000002</v>
      </c>
      <c r="J167" s="788">
        <f>I167*G167</f>
        <v>2068.9103073600004</v>
      </c>
      <c r="K167" s="794"/>
      <c r="L167" s="597"/>
      <c r="M167" s="568">
        <v>0.65</v>
      </c>
      <c r="N167" s="569">
        <v>12.96</v>
      </c>
      <c r="O167" s="522"/>
      <c r="P167" s="535">
        <f t="shared" si="14"/>
        <v>2068.9103073600004</v>
      </c>
    </row>
    <row r="168" spans="1:16" ht="38.25">
      <c r="A168" s="783" t="s">
        <v>351</v>
      </c>
      <c r="B168" s="791"/>
      <c r="C168" s="795" t="s">
        <v>17</v>
      </c>
      <c r="D168" s="795" t="s">
        <v>45</v>
      </c>
      <c r="E168" s="798" t="s">
        <v>37</v>
      </c>
      <c r="F168" s="785" t="s">
        <v>30</v>
      </c>
      <c r="G168" s="787">
        <v>3.2</v>
      </c>
      <c r="H168" s="787">
        <f>N168*M168</f>
        <v>273.611</v>
      </c>
      <c r="I168" s="787">
        <f>(H168*$K$10)+H168</f>
        <v>336.1584746</v>
      </c>
      <c r="J168" s="788">
        <f>I168*G168</f>
        <v>1075.70711872</v>
      </c>
      <c r="K168" s="794"/>
      <c r="L168" s="597"/>
      <c r="M168" s="568">
        <v>0.65</v>
      </c>
      <c r="N168" s="569">
        <v>420.94</v>
      </c>
      <c r="O168" s="522"/>
      <c r="P168" s="535">
        <f t="shared" si="14"/>
        <v>1075.70711872</v>
      </c>
    </row>
    <row r="169" spans="1:16" ht="12.75">
      <c r="A169" s="799"/>
      <c r="B169" s="796"/>
      <c r="C169" s="772"/>
      <c r="D169" s="772"/>
      <c r="E169" s="773" t="s">
        <v>53</v>
      </c>
      <c r="F169" s="779"/>
      <c r="G169" s="774"/>
      <c r="H169" s="774"/>
      <c r="I169" s="774"/>
      <c r="J169" s="800">
        <f>SUM(J156:J168)</f>
        <v>179545.63695242722</v>
      </c>
      <c r="K169" s="801">
        <f>J169</f>
        <v>179545.63695242722</v>
      </c>
      <c r="L169" s="597"/>
      <c r="M169" s="568">
        <v>0.65</v>
      </c>
      <c r="N169" s="569"/>
      <c r="O169" s="522"/>
      <c r="P169" s="535"/>
    </row>
    <row r="170" spans="1:16" ht="12.75">
      <c r="A170" s="783"/>
      <c r="B170" s="791"/>
      <c r="C170" s="802"/>
      <c r="D170" s="803"/>
      <c r="E170" s="803"/>
      <c r="F170" s="803"/>
      <c r="G170" s="803"/>
      <c r="H170" s="803"/>
      <c r="I170" s="803"/>
      <c r="J170" s="803"/>
      <c r="K170" s="804"/>
      <c r="L170" s="597"/>
      <c r="M170" s="568">
        <v>0.65</v>
      </c>
      <c r="N170" s="569"/>
      <c r="O170" s="522"/>
      <c r="P170" s="535"/>
    </row>
    <row r="171" spans="1:16" ht="12.75">
      <c r="A171" s="777">
        <v>2</v>
      </c>
      <c r="B171" s="778"/>
      <c r="C171" s="779"/>
      <c r="D171" s="779"/>
      <c r="E171" s="780" t="s">
        <v>147</v>
      </c>
      <c r="F171" s="780"/>
      <c r="G171" s="774"/>
      <c r="H171" s="774"/>
      <c r="I171" s="774"/>
      <c r="J171" s="781"/>
      <c r="K171" s="782"/>
      <c r="L171" s="597"/>
      <c r="M171" s="568">
        <v>0.65</v>
      </c>
      <c r="N171" s="522"/>
      <c r="O171" s="522"/>
      <c r="P171" s="535"/>
    </row>
    <row r="172" spans="1:16" ht="45" customHeight="1">
      <c r="A172" s="805" t="s">
        <v>25</v>
      </c>
      <c r="B172" s="806"/>
      <c r="C172" s="807" t="s">
        <v>17</v>
      </c>
      <c r="D172" s="808" t="s">
        <v>290</v>
      </c>
      <c r="E172" s="809" t="s">
        <v>289</v>
      </c>
      <c r="F172" s="807" t="s">
        <v>218</v>
      </c>
      <c r="G172" s="810">
        <v>1054</v>
      </c>
      <c r="H172" s="810">
        <v>204.48</v>
      </c>
      <c r="I172" s="810">
        <f>(H172*$K$10)+H172</f>
        <v>251.22412799999998</v>
      </c>
      <c r="J172" s="811">
        <f>I172*G172</f>
        <v>264790.230912</v>
      </c>
      <c r="K172" s="812"/>
      <c r="L172" s="597"/>
      <c r="M172" s="568">
        <v>0.65</v>
      </c>
      <c r="N172" s="639">
        <v>38.52</v>
      </c>
      <c r="O172" s="522"/>
      <c r="P172" s="535">
        <f t="shared" si="14"/>
        <v>264790.230912</v>
      </c>
    </row>
    <row r="173" spans="1:16" ht="12.75">
      <c r="A173" s="799"/>
      <c r="B173" s="796"/>
      <c r="C173" s="813"/>
      <c r="D173" s="813"/>
      <c r="E173" s="773" t="s">
        <v>53</v>
      </c>
      <c r="F173" s="779"/>
      <c r="G173" s="774"/>
      <c r="H173" s="774"/>
      <c r="I173" s="774"/>
      <c r="J173" s="800">
        <f>SUM(J171:J172)</f>
        <v>264790.230912</v>
      </c>
      <c r="K173" s="801">
        <f>J173+K169</f>
        <v>444335.8678644272</v>
      </c>
      <c r="L173" s="522"/>
      <c r="M173" s="568">
        <v>0.65</v>
      </c>
      <c r="N173" s="569"/>
      <c r="O173" s="522"/>
      <c r="P173" s="535"/>
    </row>
    <row r="174" spans="1:16" ht="12.75">
      <c r="A174" s="814"/>
      <c r="B174" s="815"/>
      <c r="C174" s="795"/>
      <c r="D174" s="795"/>
      <c r="E174" s="816"/>
      <c r="F174" s="795"/>
      <c r="G174" s="787"/>
      <c r="H174" s="787"/>
      <c r="I174" s="787"/>
      <c r="J174" s="817"/>
      <c r="K174" s="818"/>
      <c r="L174" s="522"/>
      <c r="M174" s="568">
        <v>0.65</v>
      </c>
      <c r="N174" s="522"/>
      <c r="O174" s="522"/>
      <c r="P174" s="535"/>
    </row>
    <row r="175" spans="1:16" ht="12.75">
      <c r="A175" s="770">
        <v>3</v>
      </c>
      <c r="B175" s="771"/>
      <c r="C175" s="772"/>
      <c r="D175" s="772"/>
      <c r="E175" s="773" t="s">
        <v>215</v>
      </c>
      <c r="F175" s="772"/>
      <c r="G175" s="774"/>
      <c r="H175" s="774"/>
      <c r="I175" s="774"/>
      <c r="J175" s="819"/>
      <c r="K175" s="820"/>
      <c r="L175" s="522"/>
      <c r="M175" s="568">
        <v>0.65</v>
      </c>
      <c r="N175" s="522"/>
      <c r="O175" s="522"/>
      <c r="P175" s="535"/>
    </row>
    <row r="176" spans="1:16" s="641" customFormat="1" ht="12.75">
      <c r="A176" s="814" t="s">
        <v>52</v>
      </c>
      <c r="B176" s="815"/>
      <c r="C176" s="795" t="s">
        <v>17</v>
      </c>
      <c r="D176" s="795" t="s">
        <v>216</v>
      </c>
      <c r="E176" s="495" t="s">
        <v>217</v>
      </c>
      <c r="F176" s="785" t="s">
        <v>218</v>
      </c>
      <c r="G176" s="810">
        <v>1054</v>
      </c>
      <c r="H176" s="787">
        <f>N176*M176</f>
        <v>28.4765</v>
      </c>
      <c r="I176" s="787">
        <f>(H176*$K$10)+H176</f>
        <v>34.9862279</v>
      </c>
      <c r="J176" s="821">
        <f>I176*G176</f>
        <v>36875.484206600006</v>
      </c>
      <c r="K176" s="789"/>
      <c r="L176" s="639"/>
      <c r="M176" s="568">
        <v>0.65</v>
      </c>
      <c r="N176" s="640">
        <v>43.81</v>
      </c>
      <c r="O176" s="639"/>
      <c r="P176" s="535">
        <f t="shared" si="14"/>
        <v>36875.484206600006</v>
      </c>
    </row>
    <row r="177" spans="1:16" s="641" customFormat="1" ht="25.5">
      <c r="A177" s="814" t="s">
        <v>213</v>
      </c>
      <c r="B177" s="815"/>
      <c r="C177" s="795" t="s">
        <v>17</v>
      </c>
      <c r="D177" s="795" t="s">
        <v>160</v>
      </c>
      <c r="E177" s="495" t="s">
        <v>161</v>
      </c>
      <c r="F177" s="785" t="s">
        <v>218</v>
      </c>
      <c r="G177" s="810">
        <v>1054</v>
      </c>
      <c r="H177" s="787">
        <f>N177*M177</f>
        <v>7.852</v>
      </c>
      <c r="I177" s="787">
        <f>(H177*$K$10)+H177</f>
        <v>9.6469672</v>
      </c>
      <c r="J177" s="821">
        <f>I177*G177</f>
        <v>10167.9034288</v>
      </c>
      <c r="K177" s="789"/>
      <c r="L177" s="639"/>
      <c r="M177" s="568">
        <v>0.65</v>
      </c>
      <c r="N177" s="640">
        <v>12.08</v>
      </c>
      <c r="O177" s="639"/>
      <c r="P177" s="535">
        <f>J177</f>
        <v>10167.9034288</v>
      </c>
    </row>
    <row r="178" spans="1:16" ht="38.25">
      <c r="A178" s="814" t="s">
        <v>327</v>
      </c>
      <c r="B178" s="815"/>
      <c r="C178" s="795" t="s">
        <v>17</v>
      </c>
      <c r="D178" s="795" t="s">
        <v>224</v>
      </c>
      <c r="E178" s="495" t="s">
        <v>225</v>
      </c>
      <c r="F178" s="785" t="s">
        <v>218</v>
      </c>
      <c r="G178" s="810">
        <v>1054</v>
      </c>
      <c r="H178" s="787">
        <f>N178*M178</f>
        <v>8.307</v>
      </c>
      <c r="I178" s="787">
        <f>(H178*$K$10)+H178</f>
        <v>10.2059802</v>
      </c>
      <c r="J178" s="821">
        <f>I178*G178</f>
        <v>10757.1031308</v>
      </c>
      <c r="K178" s="789"/>
      <c r="L178" s="639"/>
      <c r="M178" s="568">
        <v>0.65</v>
      </c>
      <c r="N178" s="640">
        <v>12.78</v>
      </c>
      <c r="O178" s="522"/>
      <c r="P178" s="535">
        <f t="shared" si="14"/>
        <v>10757.1031308</v>
      </c>
    </row>
    <row r="179" spans="1:16" ht="12.75" customHeight="1">
      <c r="A179" s="822"/>
      <c r="B179" s="823"/>
      <c r="C179" s="772"/>
      <c r="D179" s="772"/>
      <c r="E179" s="773" t="s">
        <v>53</v>
      </c>
      <c r="F179" s="772"/>
      <c r="G179" s="774"/>
      <c r="H179" s="774"/>
      <c r="I179" s="774"/>
      <c r="J179" s="800">
        <f>SUM(J175:J178)</f>
        <v>57800.49076620001</v>
      </c>
      <c r="K179" s="801">
        <f>J179+K173</f>
        <v>502136.3586306272</v>
      </c>
      <c r="L179" s="522"/>
      <c r="M179" s="568">
        <v>0.65</v>
      </c>
      <c r="N179" s="522"/>
      <c r="O179" s="522"/>
      <c r="P179" s="535"/>
    </row>
    <row r="180" spans="1:16" ht="12.75" customHeight="1">
      <c r="A180" s="814"/>
      <c r="B180" s="815"/>
      <c r="C180" s="795"/>
      <c r="D180" s="795"/>
      <c r="E180" s="816"/>
      <c r="F180" s="795"/>
      <c r="G180" s="787"/>
      <c r="H180" s="787"/>
      <c r="I180" s="787"/>
      <c r="J180" s="817"/>
      <c r="K180" s="824"/>
      <c r="L180" s="522"/>
      <c r="M180" s="568">
        <v>0.65</v>
      </c>
      <c r="N180" s="522"/>
      <c r="O180" s="522"/>
      <c r="P180" s="535"/>
    </row>
    <row r="181" spans="1:16" ht="12.75">
      <c r="A181" s="770">
        <v>4</v>
      </c>
      <c r="B181" s="771"/>
      <c r="C181" s="772"/>
      <c r="D181" s="772"/>
      <c r="E181" s="773" t="s">
        <v>61</v>
      </c>
      <c r="F181" s="772"/>
      <c r="G181" s="774"/>
      <c r="H181" s="774"/>
      <c r="I181" s="774"/>
      <c r="J181" s="819"/>
      <c r="K181" s="820"/>
      <c r="L181" s="522"/>
      <c r="M181" s="568">
        <v>0.65</v>
      </c>
      <c r="N181" s="522"/>
      <c r="O181" s="522"/>
      <c r="P181" s="535"/>
    </row>
    <row r="182" spans="1:16" ht="38.25">
      <c r="A182" s="814" t="s">
        <v>54</v>
      </c>
      <c r="B182" s="815"/>
      <c r="C182" s="795" t="s">
        <v>17</v>
      </c>
      <c r="D182" s="795" t="s">
        <v>63</v>
      </c>
      <c r="E182" s="495" t="s">
        <v>64</v>
      </c>
      <c r="F182" s="795" t="s">
        <v>19</v>
      </c>
      <c r="G182" s="825">
        <v>276.42</v>
      </c>
      <c r="H182" s="826">
        <f>N182*M182</f>
        <v>32.5715</v>
      </c>
      <c r="I182" s="787">
        <f>(H182*$K$10)+H182</f>
        <v>40.0173449</v>
      </c>
      <c r="J182" s="788">
        <f>I182*G182</f>
        <v>11061.594477258</v>
      </c>
      <c r="K182" s="827"/>
      <c r="L182" s="522"/>
      <c r="M182" s="568">
        <v>0.65</v>
      </c>
      <c r="N182" s="569">
        <v>50.11</v>
      </c>
      <c r="O182" s="522"/>
      <c r="P182" s="535">
        <f t="shared" si="14"/>
        <v>11061.594477258</v>
      </c>
    </row>
    <row r="183" spans="1:16" ht="38.25">
      <c r="A183" s="814" t="s">
        <v>148</v>
      </c>
      <c r="B183" s="828"/>
      <c r="C183" s="829" t="s">
        <v>17</v>
      </c>
      <c r="D183" s="829" t="s">
        <v>228</v>
      </c>
      <c r="E183" s="830" t="s">
        <v>227</v>
      </c>
      <c r="F183" s="829" t="s">
        <v>19</v>
      </c>
      <c r="G183" s="831">
        <f>(3.4*4.1)+(5.26*4.1)+(5.5*4.1)+(5.5*4.1)+(6.77*4.1)+(1.7*4.1)+(13.76*4.1)+(1.23*4.1)+(1.32*4.1)+(7.67*4.1)+(7.05*4.1)</f>
        <v>242.55599999999998</v>
      </c>
      <c r="H183" s="825">
        <f>N183*M183</f>
        <v>39.2405</v>
      </c>
      <c r="I183" s="832">
        <f>(H183*$K$10)+H183</f>
        <v>48.2108783</v>
      </c>
      <c r="J183" s="833">
        <f>I183*G183</f>
        <v>11693.837796934798</v>
      </c>
      <c r="K183" s="834"/>
      <c r="L183" s="522"/>
      <c r="M183" s="568">
        <v>0.65</v>
      </c>
      <c r="N183" s="835">
        <v>60.37</v>
      </c>
      <c r="O183" s="522"/>
      <c r="P183" s="535">
        <f t="shared" si="14"/>
        <v>11693.837796934798</v>
      </c>
    </row>
    <row r="184" spans="1:16" ht="57" customHeight="1">
      <c r="A184" s="814" t="s">
        <v>149</v>
      </c>
      <c r="B184" s="815"/>
      <c r="C184" s="795" t="s">
        <v>17</v>
      </c>
      <c r="D184" s="795" t="s">
        <v>229</v>
      </c>
      <c r="E184" s="495" t="s">
        <v>353</v>
      </c>
      <c r="F184" s="795" t="s">
        <v>19</v>
      </c>
      <c r="G184" s="815">
        <f>(3.5*4.1)+(3.51*4.1)+(1.5*4.1)</f>
        <v>34.891</v>
      </c>
      <c r="H184" s="825">
        <f>N184*M184</f>
        <v>63.88850000000001</v>
      </c>
      <c r="I184" s="787">
        <f>(H184*$K$10)+H184</f>
        <v>78.4934111</v>
      </c>
      <c r="J184" s="788">
        <f>I184*G184</f>
        <v>2738.7136066901</v>
      </c>
      <c r="K184" s="788"/>
      <c r="L184" s="522"/>
      <c r="M184" s="568">
        <v>0.65</v>
      </c>
      <c r="N184" s="835">
        <v>98.29</v>
      </c>
      <c r="O184" s="522"/>
      <c r="P184" s="535">
        <f t="shared" si="14"/>
        <v>2738.7136066901</v>
      </c>
    </row>
    <row r="185" spans="1:16" ht="54.75" customHeight="1">
      <c r="A185" s="814" t="s">
        <v>151</v>
      </c>
      <c r="B185" s="836"/>
      <c r="C185" s="837" t="s">
        <v>17</v>
      </c>
      <c r="D185" s="838" t="s">
        <v>229</v>
      </c>
      <c r="E185" s="839" t="s">
        <v>230</v>
      </c>
      <c r="F185" s="837" t="s">
        <v>19</v>
      </c>
      <c r="G185" s="838">
        <f>(4.85*4.1)+(3.5*4.1)+(1.54*4.1)+(3.16*4.1)+(1.96*4.1)+(2.4*4.1)+(0.3*4.1)+(1.8*4.1)+(3.16*4.1)+(1.54*4.1)+(0.85*4.1)</f>
        <v>102.746</v>
      </c>
      <c r="H185" s="825">
        <f>N185*M185</f>
        <v>57.603</v>
      </c>
      <c r="I185" s="840">
        <f>(H185*$K$10)+H185</f>
        <v>70.7710458</v>
      </c>
      <c r="J185" s="841">
        <f>I185*G185</f>
        <v>7271.4418717667995</v>
      </c>
      <c r="K185" s="842"/>
      <c r="L185" s="522"/>
      <c r="M185" s="568">
        <v>0.65</v>
      </c>
      <c r="N185" s="835">
        <v>88.62</v>
      </c>
      <c r="O185" s="522"/>
      <c r="P185" s="535">
        <f t="shared" si="14"/>
        <v>7271.4418717667995</v>
      </c>
    </row>
    <row r="186" spans="1:16" ht="51">
      <c r="A186" s="814" t="s">
        <v>354</v>
      </c>
      <c r="B186" s="815"/>
      <c r="C186" s="795" t="s">
        <v>17</v>
      </c>
      <c r="D186" s="843" t="s">
        <v>231</v>
      </c>
      <c r="E186" s="844" t="s">
        <v>232</v>
      </c>
      <c r="F186" s="795" t="s">
        <v>19</v>
      </c>
      <c r="G186" s="825">
        <f>(1.35*4.1)+(4.7*4.1)+(0.45*4.1)+(7.25*4.1)+(5.84*4.1)+(7.3*4.1)+(5.97*4.1)+(6.75*4.1)+(8.8*4.1)+(7.35*4.1)+(5.85*4.1)+(0.3*4.1)+(7.49*2)+(2*2)+(1.34*4.1)</f>
        <v>278.30499999999995</v>
      </c>
      <c r="H186" s="825">
        <f>N186*M186</f>
        <v>51.3305</v>
      </c>
      <c r="I186" s="787">
        <f>(H186*$K$10)+H186</f>
        <v>63.0646523</v>
      </c>
      <c r="J186" s="788">
        <f>I186*G186</f>
        <v>17551.208058351498</v>
      </c>
      <c r="K186" s="827"/>
      <c r="L186" s="522"/>
      <c r="M186" s="568">
        <v>0.65</v>
      </c>
      <c r="N186" s="835">
        <v>78.97</v>
      </c>
      <c r="O186" s="522"/>
      <c r="P186" s="535">
        <f t="shared" si="14"/>
        <v>17551.208058351498</v>
      </c>
    </row>
    <row r="187" spans="1:16" ht="12.75" customHeight="1">
      <c r="A187" s="822"/>
      <c r="B187" s="823"/>
      <c r="C187" s="772"/>
      <c r="D187" s="772"/>
      <c r="E187" s="773" t="s">
        <v>53</v>
      </c>
      <c r="F187" s="772"/>
      <c r="G187" s="774"/>
      <c r="H187" s="774"/>
      <c r="I187" s="774"/>
      <c r="J187" s="800">
        <f>SUM(J182:J186)</f>
        <v>50316.7958110012</v>
      </c>
      <c r="K187" s="801">
        <f>J187+K179</f>
        <v>552453.1544416284</v>
      </c>
      <c r="L187" s="522"/>
      <c r="M187" s="568">
        <v>0.65</v>
      </c>
      <c r="N187" s="522"/>
      <c r="O187" s="522"/>
      <c r="P187" s="535"/>
    </row>
    <row r="188" spans="1:16" ht="12.75" customHeight="1">
      <c r="A188" s="814"/>
      <c r="B188" s="815"/>
      <c r="C188" s="795"/>
      <c r="D188" s="795"/>
      <c r="E188" s="816"/>
      <c r="F188" s="795"/>
      <c r="G188" s="787"/>
      <c r="H188" s="787"/>
      <c r="I188" s="787"/>
      <c r="J188" s="817"/>
      <c r="K188" s="824"/>
      <c r="L188" s="522"/>
      <c r="M188" s="568">
        <v>0.65</v>
      </c>
      <c r="N188" s="522"/>
      <c r="O188" s="522"/>
      <c r="P188" s="535"/>
    </row>
    <row r="189" spans="1:16" ht="12.75">
      <c r="A189" s="770">
        <v>5</v>
      </c>
      <c r="B189" s="771"/>
      <c r="C189" s="772"/>
      <c r="D189" s="772"/>
      <c r="E189" s="773" t="s">
        <v>67</v>
      </c>
      <c r="F189" s="772"/>
      <c r="G189" s="774"/>
      <c r="H189" s="774"/>
      <c r="I189" s="774"/>
      <c r="J189" s="819"/>
      <c r="K189" s="820"/>
      <c r="L189" s="522"/>
      <c r="M189" s="568">
        <v>0.65</v>
      </c>
      <c r="N189" s="522"/>
      <c r="O189" s="522"/>
      <c r="P189" s="535"/>
    </row>
    <row r="190" spans="1:16" s="660" customFormat="1" ht="38.25">
      <c r="A190" s="814" t="s">
        <v>57</v>
      </c>
      <c r="B190" s="815"/>
      <c r="C190" s="795" t="s">
        <v>17</v>
      </c>
      <c r="D190" s="792" t="s">
        <v>70</v>
      </c>
      <c r="E190" s="845" t="s">
        <v>71</v>
      </c>
      <c r="F190" s="795" t="s">
        <v>19</v>
      </c>
      <c r="G190" s="787">
        <v>1487.8</v>
      </c>
      <c r="H190" s="787">
        <f>N190*M190</f>
        <v>6.272500000000001</v>
      </c>
      <c r="I190" s="787">
        <f aca="true" t="shared" si="15" ref="I190:I209">(H190*$K$10)+H190</f>
        <v>7.706393500000001</v>
      </c>
      <c r="J190" s="788">
        <f aca="true" t="shared" si="16" ref="J190:J196">I190*G190</f>
        <v>11465.572249300001</v>
      </c>
      <c r="K190" s="827"/>
      <c r="L190" s="522"/>
      <c r="M190" s="568">
        <v>0.65</v>
      </c>
      <c r="N190" s="569">
        <v>9.65</v>
      </c>
      <c r="O190" s="659"/>
      <c r="P190" s="535">
        <f aca="true" t="shared" si="17" ref="P190:P196">J190</f>
        <v>11465.572249300001</v>
      </c>
    </row>
    <row r="191" spans="1:16" s="660" customFormat="1" ht="38.25">
      <c r="A191" s="814" t="s">
        <v>60</v>
      </c>
      <c r="B191" s="815"/>
      <c r="C191" s="795" t="s">
        <v>17</v>
      </c>
      <c r="D191" s="795" t="s">
        <v>73</v>
      </c>
      <c r="E191" s="495" t="s">
        <v>74</v>
      </c>
      <c r="F191" s="795" t="s">
        <v>19</v>
      </c>
      <c r="G191" s="787">
        <v>1487.8</v>
      </c>
      <c r="H191" s="787">
        <f aca="true" t="shared" si="18" ref="H191:H201">N191*M191</f>
        <v>15.580499999999999</v>
      </c>
      <c r="I191" s="787">
        <f t="shared" si="15"/>
        <v>19.142202299999997</v>
      </c>
      <c r="J191" s="788">
        <f t="shared" si="16"/>
        <v>28479.768581939996</v>
      </c>
      <c r="K191" s="827"/>
      <c r="L191" s="659"/>
      <c r="M191" s="568">
        <v>0.65</v>
      </c>
      <c r="N191" s="569">
        <v>23.97</v>
      </c>
      <c r="O191" s="659"/>
      <c r="P191" s="535">
        <f t="shared" si="17"/>
        <v>28479.768581939996</v>
      </c>
    </row>
    <row r="192" spans="1:16" ht="25.5">
      <c r="A192" s="814" t="s">
        <v>154</v>
      </c>
      <c r="B192" s="815"/>
      <c r="C192" s="795" t="s">
        <v>17</v>
      </c>
      <c r="D192" s="795" t="s">
        <v>355</v>
      </c>
      <c r="E192" s="495" t="s">
        <v>356</v>
      </c>
      <c r="F192" s="795" t="s">
        <v>218</v>
      </c>
      <c r="G192" s="787">
        <f>103.935+63.632</f>
        <v>167.567</v>
      </c>
      <c r="H192" s="787">
        <f t="shared" si="18"/>
        <v>15.223</v>
      </c>
      <c r="I192" s="787">
        <f t="shared" si="15"/>
        <v>18.7029778</v>
      </c>
      <c r="J192" s="788">
        <f t="shared" si="16"/>
        <v>3134.0018810126</v>
      </c>
      <c r="K192" s="827"/>
      <c r="L192" s="659"/>
      <c r="M192" s="568">
        <v>0.65</v>
      </c>
      <c r="N192" s="569">
        <v>23.42</v>
      </c>
      <c r="O192" s="522"/>
      <c r="P192" s="535">
        <f t="shared" si="17"/>
        <v>3134.0018810126</v>
      </c>
    </row>
    <row r="193" spans="1:16" ht="38.25">
      <c r="A193" s="814" t="s">
        <v>155</v>
      </c>
      <c r="B193" s="815"/>
      <c r="C193" s="795" t="s">
        <v>17</v>
      </c>
      <c r="D193" s="795" t="s">
        <v>157</v>
      </c>
      <c r="E193" s="495" t="s">
        <v>251</v>
      </c>
      <c r="F193" s="795" t="s">
        <v>218</v>
      </c>
      <c r="G193" s="787">
        <f>G192</f>
        <v>167.567</v>
      </c>
      <c r="H193" s="787">
        <f t="shared" si="18"/>
        <v>33.1435</v>
      </c>
      <c r="I193" s="787">
        <f t="shared" si="15"/>
        <v>40.7201041</v>
      </c>
      <c r="J193" s="788">
        <f t="shared" si="16"/>
        <v>6823.3456837247</v>
      </c>
      <c r="K193" s="827"/>
      <c r="L193" s="659"/>
      <c r="M193" s="568">
        <v>0.65</v>
      </c>
      <c r="N193" s="569">
        <v>50.99</v>
      </c>
      <c r="O193" s="522"/>
      <c r="P193" s="535">
        <f t="shared" si="17"/>
        <v>6823.3456837247</v>
      </c>
    </row>
    <row r="194" spans="1:16" ht="63.75">
      <c r="A194" s="814" t="s">
        <v>156</v>
      </c>
      <c r="B194" s="815"/>
      <c r="C194" s="795" t="s">
        <v>17</v>
      </c>
      <c r="D194" s="795" t="s">
        <v>252</v>
      </c>
      <c r="E194" s="495" t="s">
        <v>357</v>
      </c>
      <c r="F194" s="795" t="s">
        <v>218</v>
      </c>
      <c r="G194" s="787">
        <v>1157.17</v>
      </c>
      <c r="H194" s="787">
        <f t="shared" si="18"/>
        <v>48.4055</v>
      </c>
      <c r="I194" s="787">
        <f t="shared" si="15"/>
        <v>59.47099730000001</v>
      </c>
      <c r="J194" s="788">
        <f t="shared" si="16"/>
        <v>68818.05394564102</v>
      </c>
      <c r="K194" s="827"/>
      <c r="L194" s="659"/>
      <c r="M194" s="568">
        <v>0.65</v>
      </c>
      <c r="N194" s="569">
        <v>74.47</v>
      </c>
      <c r="O194" s="522"/>
      <c r="P194" s="535">
        <f t="shared" si="17"/>
        <v>68818.05394564102</v>
      </c>
    </row>
    <row r="195" spans="1:16" ht="38.25">
      <c r="A195" s="814" t="s">
        <v>358</v>
      </c>
      <c r="B195" s="815"/>
      <c r="C195" s="795" t="s">
        <v>17</v>
      </c>
      <c r="D195" s="795" t="s">
        <v>219</v>
      </c>
      <c r="E195" s="495" t="s">
        <v>220</v>
      </c>
      <c r="F195" s="795" t="s">
        <v>19</v>
      </c>
      <c r="G195" s="787">
        <v>24.9</v>
      </c>
      <c r="H195" s="787">
        <f t="shared" si="18"/>
        <v>10.913499999999999</v>
      </c>
      <c r="I195" s="787">
        <f t="shared" si="15"/>
        <v>13.408326099999998</v>
      </c>
      <c r="J195" s="788">
        <f t="shared" si="16"/>
        <v>333.8673198899999</v>
      </c>
      <c r="K195" s="827"/>
      <c r="L195" s="597"/>
      <c r="M195" s="568">
        <v>0.65</v>
      </c>
      <c r="N195" s="569">
        <v>16.79</v>
      </c>
      <c r="O195" s="522"/>
      <c r="P195" s="535">
        <f t="shared" si="17"/>
        <v>333.8673198899999</v>
      </c>
    </row>
    <row r="196" spans="1:16" ht="25.5">
      <c r="A196" s="814" t="s">
        <v>500</v>
      </c>
      <c r="B196" s="815"/>
      <c r="C196" s="795" t="s">
        <v>17</v>
      </c>
      <c r="D196" s="795" t="s">
        <v>222</v>
      </c>
      <c r="E196" s="495" t="s">
        <v>223</v>
      </c>
      <c r="F196" s="795" t="s">
        <v>19</v>
      </c>
      <c r="G196" s="787">
        <v>24.9</v>
      </c>
      <c r="H196" s="787">
        <f t="shared" si="18"/>
        <v>5.447000000000001</v>
      </c>
      <c r="I196" s="787">
        <f t="shared" si="15"/>
        <v>6.692184200000002</v>
      </c>
      <c r="J196" s="788">
        <f t="shared" si="16"/>
        <v>166.63538658000002</v>
      </c>
      <c r="K196" s="827"/>
      <c r="L196" s="597"/>
      <c r="M196" s="568">
        <v>0.65</v>
      </c>
      <c r="N196" s="569">
        <v>8.38</v>
      </c>
      <c r="O196" s="522"/>
      <c r="P196" s="535">
        <f t="shared" si="17"/>
        <v>166.63538658000002</v>
      </c>
    </row>
    <row r="197" spans="1:16" ht="12.75" customHeight="1">
      <c r="A197" s="770"/>
      <c r="B197" s="771"/>
      <c r="C197" s="772"/>
      <c r="D197" s="772"/>
      <c r="E197" s="773" t="s">
        <v>53</v>
      </c>
      <c r="F197" s="773"/>
      <c r="G197" s="774"/>
      <c r="H197" s="774"/>
      <c r="I197" s="774"/>
      <c r="J197" s="800">
        <f>SUM(J190:J196)</f>
        <v>119221.24504808833</v>
      </c>
      <c r="K197" s="801">
        <f>J197+K187</f>
        <v>671674.3994897167</v>
      </c>
      <c r="L197" s="522"/>
      <c r="M197" s="568">
        <v>0.65</v>
      </c>
      <c r="N197" s="522"/>
      <c r="O197" s="522"/>
      <c r="P197" s="535"/>
    </row>
    <row r="198" spans="1:16" ht="12.75" customHeight="1">
      <c r="A198" s="846"/>
      <c r="B198" s="847"/>
      <c r="C198" s="795"/>
      <c r="D198" s="795"/>
      <c r="E198" s="816"/>
      <c r="F198" s="816"/>
      <c r="G198" s="787"/>
      <c r="H198" s="787"/>
      <c r="I198" s="787"/>
      <c r="J198" s="817"/>
      <c r="K198" s="824"/>
      <c r="L198" s="522"/>
      <c r="M198" s="568">
        <v>0.65</v>
      </c>
      <c r="N198" s="522"/>
      <c r="O198" s="522"/>
      <c r="P198" s="535"/>
    </row>
    <row r="199" spans="1:16" ht="12.75">
      <c r="A199" s="770">
        <v>6</v>
      </c>
      <c r="B199" s="771"/>
      <c r="C199" s="772"/>
      <c r="D199" s="772"/>
      <c r="E199" s="773" t="s">
        <v>75</v>
      </c>
      <c r="F199" s="772"/>
      <c r="G199" s="774"/>
      <c r="H199" s="774"/>
      <c r="I199" s="774"/>
      <c r="J199" s="819"/>
      <c r="K199" s="820"/>
      <c r="L199" s="522"/>
      <c r="M199" s="568">
        <v>0.65</v>
      </c>
      <c r="N199" s="522"/>
      <c r="O199" s="522"/>
      <c r="P199" s="535"/>
    </row>
    <row r="200" spans="1:16" ht="38.25">
      <c r="A200" s="814" t="s">
        <v>62</v>
      </c>
      <c r="B200" s="815"/>
      <c r="C200" s="795" t="s">
        <v>17</v>
      </c>
      <c r="D200" s="795" t="s">
        <v>78</v>
      </c>
      <c r="E200" s="495" t="s">
        <v>79</v>
      </c>
      <c r="F200" s="795" t="s">
        <v>19</v>
      </c>
      <c r="G200" s="787">
        <f>282.654+377.112+215.25+545.622+10.98</f>
        <v>1431.618</v>
      </c>
      <c r="H200" s="787">
        <f t="shared" si="18"/>
        <v>7.1240000000000006</v>
      </c>
      <c r="I200" s="787">
        <f t="shared" si="15"/>
        <v>8.7525464</v>
      </c>
      <c r="J200" s="788">
        <f>I200*G200</f>
        <v>12530.3029720752</v>
      </c>
      <c r="K200" s="827"/>
      <c r="L200" s="522"/>
      <c r="M200" s="568">
        <v>0.65</v>
      </c>
      <c r="N200" s="569">
        <v>10.96</v>
      </c>
      <c r="O200" s="522"/>
      <c r="P200" s="535">
        <f>J200</f>
        <v>12530.3029720752</v>
      </c>
    </row>
    <row r="201" spans="1:16" s="641" customFormat="1" ht="38.25">
      <c r="A201" s="795" t="s">
        <v>158</v>
      </c>
      <c r="B201" s="848" t="s">
        <v>166</v>
      </c>
      <c r="C201" s="795" t="s">
        <v>17</v>
      </c>
      <c r="D201" s="795" t="s">
        <v>81</v>
      </c>
      <c r="E201" s="495" t="s">
        <v>82</v>
      </c>
      <c r="F201" s="795" t="s">
        <v>19</v>
      </c>
      <c r="G201" s="787">
        <f>282.654+377.112+215.25+545.622+10.98</f>
        <v>1431.618</v>
      </c>
      <c r="H201" s="787">
        <f t="shared" si="18"/>
        <v>2.9120000000000004</v>
      </c>
      <c r="I201" s="787">
        <f t="shared" si="15"/>
        <v>3.5776832000000005</v>
      </c>
      <c r="J201" s="788">
        <f>I201*G201</f>
        <v>5121.8756674176</v>
      </c>
      <c r="K201" s="827"/>
      <c r="L201" s="522"/>
      <c r="M201" s="568">
        <v>0.65</v>
      </c>
      <c r="N201" s="569">
        <v>4.48</v>
      </c>
      <c r="O201" s="639"/>
      <c r="P201" s="535">
        <f>J201</f>
        <v>5121.8756674176</v>
      </c>
    </row>
    <row r="202" spans="1:16" s="641" customFormat="1" ht="12.75">
      <c r="A202" s="849"/>
      <c r="B202" s="849"/>
      <c r="C202" s="772"/>
      <c r="D202" s="772"/>
      <c r="E202" s="773" t="s">
        <v>53</v>
      </c>
      <c r="F202" s="772"/>
      <c r="G202" s="774"/>
      <c r="H202" s="774"/>
      <c r="I202" s="774"/>
      <c r="J202" s="800">
        <f>J201+J200</f>
        <v>17652.1786394928</v>
      </c>
      <c r="K202" s="801">
        <f>J202+K197</f>
        <v>689326.5781292096</v>
      </c>
      <c r="L202" s="522"/>
      <c r="M202" s="568">
        <v>0.65</v>
      </c>
      <c r="N202" s="569"/>
      <c r="O202" s="639"/>
      <c r="P202" s="535"/>
    </row>
    <row r="203" spans="1:16" s="641" customFormat="1" ht="12.75">
      <c r="A203" s="848"/>
      <c r="B203" s="848"/>
      <c r="C203" s="795"/>
      <c r="D203" s="795"/>
      <c r="E203" s="816"/>
      <c r="F203" s="795"/>
      <c r="G203" s="787"/>
      <c r="H203" s="787"/>
      <c r="I203" s="787"/>
      <c r="J203" s="817"/>
      <c r="K203" s="824"/>
      <c r="L203" s="522"/>
      <c r="M203" s="568">
        <v>0.65</v>
      </c>
      <c r="N203" s="569"/>
      <c r="O203" s="639"/>
      <c r="P203" s="535"/>
    </row>
    <row r="204" spans="1:16" s="641" customFormat="1" ht="12.75">
      <c r="A204" s="770">
        <v>7</v>
      </c>
      <c r="B204" s="823"/>
      <c r="C204" s="772"/>
      <c r="D204" s="772"/>
      <c r="E204" s="773" t="s">
        <v>254</v>
      </c>
      <c r="F204" s="772"/>
      <c r="G204" s="774"/>
      <c r="H204" s="774"/>
      <c r="I204" s="774"/>
      <c r="J204" s="781"/>
      <c r="K204" s="850"/>
      <c r="L204" s="522"/>
      <c r="M204" s="568">
        <v>0.65</v>
      </c>
      <c r="N204" s="569"/>
      <c r="O204" s="639"/>
      <c r="P204" s="535"/>
    </row>
    <row r="205" spans="1:16" s="641" customFormat="1" ht="12.75">
      <c r="A205" s="770" t="s">
        <v>65</v>
      </c>
      <c r="B205" s="823"/>
      <c r="C205" s="772"/>
      <c r="D205" s="772"/>
      <c r="E205" s="773" t="s">
        <v>475</v>
      </c>
      <c r="F205" s="772"/>
      <c r="G205" s="774"/>
      <c r="H205" s="774"/>
      <c r="I205" s="774"/>
      <c r="J205" s="781"/>
      <c r="K205" s="850"/>
      <c r="L205" s="522"/>
      <c r="M205" s="568"/>
      <c r="N205" s="569"/>
      <c r="O205" s="639"/>
      <c r="P205" s="535"/>
    </row>
    <row r="206" spans="1:16" s="641" customFormat="1" ht="25.5">
      <c r="A206" s="814" t="s">
        <v>359</v>
      </c>
      <c r="B206" s="815"/>
      <c r="C206" s="795" t="s">
        <v>17</v>
      </c>
      <c r="D206" s="795" t="s">
        <v>276</v>
      </c>
      <c r="E206" s="495" t="s">
        <v>275</v>
      </c>
      <c r="F206" s="795" t="s">
        <v>19</v>
      </c>
      <c r="G206" s="787">
        <f>48.16</f>
        <v>48.16</v>
      </c>
      <c r="H206" s="787">
        <f aca="true" t="shared" si="19" ref="H206:H211">N206*M206</f>
        <v>225.5565</v>
      </c>
      <c r="I206" s="787">
        <f t="shared" si="15"/>
        <v>277.1187159</v>
      </c>
      <c r="J206" s="788">
        <f aca="true" t="shared" si="20" ref="J206:J211">I206*G206</f>
        <v>13346.037357743999</v>
      </c>
      <c r="K206" s="827"/>
      <c r="L206" s="522"/>
      <c r="M206" s="568">
        <v>0.65</v>
      </c>
      <c r="N206" s="569">
        <v>347.01</v>
      </c>
      <c r="O206" s="639"/>
      <c r="P206" s="535">
        <f>J206</f>
        <v>13346.037357743999</v>
      </c>
    </row>
    <row r="207" spans="1:16" s="641" customFormat="1" ht="51">
      <c r="A207" s="814" t="s">
        <v>360</v>
      </c>
      <c r="B207" s="815"/>
      <c r="C207" s="795" t="s">
        <v>17</v>
      </c>
      <c r="D207" s="795" t="s">
        <v>272</v>
      </c>
      <c r="E207" s="495" t="s">
        <v>271</v>
      </c>
      <c r="F207" s="795" t="s">
        <v>19</v>
      </c>
      <c r="G207" s="787">
        <f>48.16+4.2+15.645+11.56+93.59+93.59</f>
        <v>266.745</v>
      </c>
      <c r="H207" s="787">
        <f t="shared" si="19"/>
        <v>150.917</v>
      </c>
      <c r="I207" s="787">
        <f t="shared" si="15"/>
        <v>185.4166262</v>
      </c>
      <c r="J207" s="788">
        <f t="shared" si="20"/>
        <v>49458.957955719</v>
      </c>
      <c r="K207" s="827"/>
      <c r="L207" s="522"/>
      <c r="M207" s="568">
        <v>0.65</v>
      </c>
      <c r="N207" s="569">
        <v>232.18</v>
      </c>
      <c r="O207" s="639"/>
      <c r="P207" s="535">
        <f>J207</f>
        <v>49458.957955719</v>
      </c>
    </row>
    <row r="208" spans="1:16" s="641" customFormat="1" ht="25.5">
      <c r="A208" s="814" t="s">
        <v>361</v>
      </c>
      <c r="B208" s="815"/>
      <c r="C208" s="795" t="s">
        <v>17</v>
      </c>
      <c r="D208" s="795" t="s">
        <v>258</v>
      </c>
      <c r="E208" s="495" t="s">
        <v>362</v>
      </c>
      <c r="F208" s="795" t="s">
        <v>363</v>
      </c>
      <c r="G208" s="787">
        <f>4.2+15.645</f>
        <v>19.845</v>
      </c>
      <c r="H208" s="787">
        <f t="shared" si="19"/>
        <v>65</v>
      </c>
      <c r="I208" s="787">
        <f t="shared" si="15"/>
        <v>79.859</v>
      </c>
      <c r="J208" s="788">
        <f t="shared" si="20"/>
        <v>1584.8018549999997</v>
      </c>
      <c r="K208" s="827"/>
      <c r="L208" s="522"/>
      <c r="M208" s="568">
        <v>0.65</v>
      </c>
      <c r="N208" s="569">
        <v>100</v>
      </c>
      <c r="O208" s="639"/>
      <c r="P208" s="535">
        <f>J208</f>
        <v>1584.8018549999997</v>
      </c>
    </row>
    <row r="209" spans="1:16" s="641" customFormat="1" ht="25.5">
      <c r="A209" s="814" t="s">
        <v>364</v>
      </c>
      <c r="B209" s="815"/>
      <c r="C209" s="795" t="s">
        <v>17</v>
      </c>
      <c r="D209" s="795" t="s">
        <v>261</v>
      </c>
      <c r="E209" s="495" t="s">
        <v>260</v>
      </c>
      <c r="F209" s="795" t="s">
        <v>19</v>
      </c>
      <c r="G209" s="787">
        <f>13.12+4.4</f>
        <v>17.52</v>
      </c>
      <c r="H209" s="787">
        <f t="shared" si="19"/>
        <v>29.484</v>
      </c>
      <c r="I209" s="787">
        <f t="shared" si="15"/>
        <v>36.2240424</v>
      </c>
      <c r="J209" s="788">
        <f t="shared" si="20"/>
        <v>634.645222848</v>
      </c>
      <c r="K209" s="827"/>
      <c r="L209" s="522"/>
      <c r="M209" s="568">
        <v>0.65</v>
      </c>
      <c r="N209" s="569">
        <v>45.36</v>
      </c>
      <c r="O209" s="639"/>
      <c r="P209" s="535">
        <f aca="true" t="shared" si="21" ref="P209:P214">J209</f>
        <v>634.645222848</v>
      </c>
    </row>
    <row r="210" spans="1:16" s="641" customFormat="1" ht="38.25">
      <c r="A210" s="814" t="s">
        <v>365</v>
      </c>
      <c r="B210" s="815"/>
      <c r="C210" s="795" t="s">
        <v>17</v>
      </c>
      <c r="D210" s="795" t="s">
        <v>366</v>
      </c>
      <c r="E210" s="495" t="s">
        <v>367</v>
      </c>
      <c r="F210" s="795" t="s">
        <v>352</v>
      </c>
      <c r="G210" s="787">
        <f>13.12+4.4</f>
        <v>17.52</v>
      </c>
      <c r="H210" s="787">
        <f t="shared" si="19"/>
        <v>2.4375</v>
      </c>
      <c r="I210" s="787">
        <f>(H210*$K$10)+H210</f>
        <v>2.9947125</v>
      </c>
      <c r="J210" s="788">
        <f t="shared" si="20"/>
        <v>52.467363</v>
      </c>
      <c r="K210" s="827"/>
      <c r="L210" s="522"/>
      <c r="M210" s="568">
        <v>0.65</v>
      </c>
      <c r="N210" s="569">
        <v>3.75</v>
      </c>
      <c r="O210" s="639"/>
      <c r="P210" s="535">
        <f t="shared" si="21"/>
        <v>52.467363</v>
      </c>
    </row>
    <row r="211" spans="1:16" s="641" customFormat="1" ht="38.25">
      <c r="A211" s="814" t="s">
        <v>368</v>
      </c>
      <c r="B211" s="815"/>
      <c r="C211" s="795" t="s">
        <v>17</v>
      </c>
      <c r="D211" s="795" t="s">
        <v>369</v>
      </c>
      <c r="E211" s="495" t="s">
        <v>370</v>
      </c>
      <c r="F211" s="795" t="s">
        <v>371</v>
      </c>
      <c r="G211" s="787">
        <f>13.12+4.4</f>
        <v>17.52</v>
      </c>
      <c r="H211" s="787">
        <f t="shared" si="19"/>
        <v>7.800000000000001</v>
      </c>
      <c r="I211" s="787">
        <f>(H211*$K$10)+H211</f>
        <v>9.58308</v>
      </c>
      <c r="J211" s="788">
        <f t="shared" si="20"/>
        <v>167.8955616</v>
      </c>
      <c r="K211" s="827"/>
      <c r="L211" s="522"/>
      <c r="M211" s="568">
        <v>0.65</v>
      </c>
      <c r="N211" s="569">
        <v>12</v>
      </c>
      <c r="O211" s="639"/>
      <c r="P211" s="535">
        <f t="shared" si="21"/>
        <v>167.8955616</v>
      </c>
    </row>
    <row r="212" spans="1:16" s="641" customFormat="1" ht="12.75">
      <c r="A212" s="770" t="s">
        <v>66</v>
      </c>
      <c r="B212" s="771"/>
      <c r="C212" s="773"/>
      <c r="D212" s="773"/>
      <c r="E212" s="773" t="s">
        <v>372</v>
      </c>
      <c r="F212" s="773"/>
      <c r="G212" s="851"/>
      <c r="H212" s="851"/>
      <c r="I212" s="851"/>
      <c r="J212" s="800"/>
      <c r="K212" s="852"/>
      <c r="L212" s="522"/>
      <c r="M212" s="568">
        <v>0.65</v>
      </c>
      <c r="N212" s="569"/>
      <c r="O212" s="639"/>
      <c r="P212" s="535"/>
    </row>
    <row r="213" spans="1:16" s="641" customFormat="1" ht="25.5">
      <c r="A213" s="814" t="s">
        <v>373</v>
      </c>
      <c r="B213" s="815"/>
      <c r="C213" s="795" t="s">
        <v>17</v>
      </c>
      <c r="D213" s="795" t="s">
        <v>32</v>
      </c>
      <c r="E213" s="495" t="s">
        <v>374</v>
      </c>
      <c r="F213" s="795" t="s">
        <v>34</v>
      </c>
      <c r="G213" s="787">
        <v>216.8</v>
      </c>
      <c r="H213" s="787">
        <f>N213*M213</f>
        <v>8.424000000000001</v>
      </c>
      <c r="I213" s="787">
        <f>(H213*$K$10)+H213</f>
        <v>10.349726400000002</v>
      </c>
      <c r="J213" s="788">
        <f>I213*G213</f>
        <v>2243.8206835200003</v>
      </c>
      <c r="K213" s="827"/>
      <c r="L213" s="522"/>
      <c r="M213" s="568">
        <v>0.65</v>
      </c>
      <c r="N213" s="569">
        <v>12.96</v>
      </c>
      <c r="O213" s="639"/>
      <c r="P213" s="535">
        <f>J213</f>
        <v>2243.8206835200003</v>
      </c>
    </row>
    <row r="214" spans="1:16" s="641" customFormat="1" ht="38.25">
      <c r="A214" s="814" t="s">
        <v>501</v>
      </c>
      <c r="B214" s="815"/>
      <c r="C214" s="795" t="s">
        <v>17</v>
      </c>
      <c r="D214" s="795" t="s">
        <v>283</v>
      </c>
      <c r="E214" s="495" t="s">
        <v>376</v>
      </c>
      <c r="F214" s="795" t="s">
        <v>19</v>
      </c>
      <c r="G214" s="787">
        <f>(0.5*4.1)*14</f>
        <v>28.699999999999996</v>
      </c>
      <c r="H214" s="787">
        <f>N214*M214</f>
        <v>40.261</v>
      </c>
      <c r="I214" s="787">
        <f>(H214*$K$10)+H214</f>
        <v>49.464664600000006</v>
      </c>
      <c r="J214" s="788">
        <f>I214*G214</f>
        <v>1419.63587402</v>
      </c>
      <c r="K214" s="827"/>
      <c r="L214" s="522"/>
      <c r="M214" s="568">
        <v>0.65</v>
      </c>
      <c r="N214" s="569">
        <v>61.94</v>
      </c>
      <c r="O214" s="639"/>
      <c r="P214" s="535">
        <f t="shared" si="21"/>
        <v>1419.63587402</v>
      </c>
    </row>
    <row r="215" spans="1:16" s="641" customFormat="1" ht="25.5">
      <c r="A215" s="814" t="s">
        <v>484</v>
      </c>
      <c r="B215" s="815"/>
      <c r="C215" s="795" t="s">
        <v>41</v>
      </c>
      <c r="D215" s="795">
        <v>34492</v>
      </c>
      <c r="E215" s="495" t="s">
        <v>378</v>
      </c>
      <c r="F215" s="795" t="s">
        <v>30</v>
      </c>
      <c r="G215" s="787">
        <v>137</v>
      </c>
      <c r="H215" s="787">
        <f>N215*M215</f>
        <v>273</v>
      </c>
      <c r="I215" s="787">
        <f>(H215*$K$10)+H215</f>
        <v>335.4078</v>
      </c>
      <c r="J215" s="788">
        <f>I215*G215</f>
        <v>45950.8686</v>
      </c>
      <c r="K215" s="827"/>
      <c r="L215" s="522"/>
      <c r="M215" s="568">
        <v>0.65</v>
      </c>
      <c r="N215" s="569">
        <v>420</v>
      </c>
      <c r="O215" s="639"/>
      <c r="P215" s="535"/>
    </row>
    <row r="216" spans="1:16" s="641" customFormat="1" ht="38.25">
      <c r="A216" s="814" t="s">
        <v>375</v>
      </c>
      <c r="B216" s="815"/>
      <c r="C216" s="853" t="s">
        <v>17</v>
      </c>
      <c r="D216" s="853" t="s">
        <v>78</v>
      </c>
      <c r="E216" s="798" t="s">
        <v>79</v>
      </c>
      <c r="F216" s="853" t="s">
        <v>19</v>
      </c>
      <c r="G216" s="810">
        <f>(0.5*4.1)*14</f>
        <v>28.699999999999996</v>
      </c>
      <c r="H216" s="787">
        <f>N216*M216</f>
        <v>7.1240000000000006</v>
      </c>
      <c r="I216" s="787">
        <f>(H216*$K$10)+H216</f>
        <v>8.7525464</v>
      </c>
      <c r="J216" s="788">
        <f>I216*G216</f>
        <v>251.19808167999997</v>
      </c>
      <c r="K216" s="827"/>
      <c r="L216" s="522"/>
      <c r="M216" s="568">
        <v>0.65</v>
      </c>
      <c r="N216" s="569">
        <v>10.96</v>
      </c>
      <c r="O216" s="639"/>
      <c r="P216" s="535"/>
    </row>
    <row r="217" spans="1:16" s="641" customFormat="1" ht="38.25">
      <c r="A217" s="814" t="s">
        <v>377</v>
      </c>
      <c r="B217" s="815"/>
      <c r="C217" s="853" t="s">
        <v>17</v>
      </c>
      <c r="D217" s="853" t="s">
        <v>81</v>
      </c>
      <c r="E217" s="798" t="s">
        <v>82</v>
      </c>
      <c r="F217" s="853" t="s">
        <v>19</v>
      </c>
      <c r="G217" s="810">
        <f>(0.5*4.1)*14</f>
        <v>28.699999999999996</v>
      </c>
      <c r="H217" s="787">
        <f>N217*M217</f>
        <v>2.9120000000000004</v>
      </c>
      <c r="I217" s="787">
        <f>(H217*$K$10)+H217</f>
        <v>3.5776832000000005</v>
      </c>
      <c r="J217" s="788">
        <f>I217*G217</f>
        <v>102.67950784</v>
      </c>
      <c r="K217" s="827"/>
      <c r="L217" s="522"/>
      <c r="M217" s="568">
        <v>0.65</v>
      </c>
      <c r="N217" s="569">
        <v>4.48</v>
      </c>
      <c r="O217" s="639"/>
      <c r="P217" s="535"/>
    </row>
    <row r="218" spans="1:16" s="641" customFormat="1" ht="12.75">
      <c r="A218" s="770" t="s">
        <v>163</v>
      </c>
      <c r="B218" s="823"/>
      <c r="C218" s="772"/>
      <c r="D218" s="772"/>
      <c r="E218" s="773" t="s">
        <v>379</v>
      </c>
      <c r="F218" s="772"/>
      <c r="G218" s="774"/>
      <c r="H218" s="774"/>
      <c r="I218" s="774"/>
      <c r="J218" s="781"/>
      <c r="K218" s="850"/>
      <c r="L218" s="522"/>
      <c r="M218" s="568">
        <v>0.65</v>
      </c>
      <c r="N218" s="569"/>
      <c r="O218" s="639"/>
      <c r="P218" s="535"/>
    </row>
    <row r="219" spans="1:16" s="641" customFormat="1" ht="38.25">
      <c r="A219" s="814" t="s">
        <v>502</v>
      </c>
      <c r="B219" s="815"/>
      <c r="C219" s="853" t="s">
        <v>17</v>
      </c>
      <c r="D219" s="853" t="s">
        <v>380</v>
      </c>
      <c r="E219" s="798" t="s">
        <v>381</v>
      </c>
      <c r="F219" s="853" t="s">
        <v>19</v>
      </c>
      <c r="G219" s="810">
        <f>(6.51*2.1)*3</f>
        <v>41.013</v>
      </c>
      <c r="H219" s="787">
        <f>N219*M219</f>
        <v>32.695</v>
      </c>
      <c r="I219" s="787">
        <f>(H219*$K$10)+H219</f>
        <v>40.169077</v>
      </c>
      <c r="J219" s="788">
        <f>I219*G219</f>
        <v>1647.454355001</v>
      </c>
      <c r="K219" s="827"/>
      <c r="L219" s="522"/>
      <c r="M219" s="568">
        <v>0.65</v>
      </c>
      <c r="N219" s="569">
        <v>50.3</v>
      </c>
      <c r="O219" s="639"/>
      <c r="P219" s="535">
        <f>J219</f>
        <v>1647.454355001</v>
      </c>
    </row>
    <row r="220" spans="1:16" s="641" customFormat="1" ht="25.5">
      <c r="A220" s="814" t="s">
        <v>503</v>
      </c>
      <c r="B220" s="815"/>
      <c r="C220" s="854" t="s">
        <v>17</v>
      </c>
      <c r="D220" s="854" t="s">
        <v>32</v>
      </c>
      <c r="E220" s="855" t="s">
        <v>33</v>
      </c>
      <c r="F220" s="854" t="s">
        <v>34</v>
      </c>
      <c r="G220" s="810">
        <v>226.6</v>
      </c>
      <c r="H220" s="787">
        <f>N220*M220</f>
        <v>7.1240000000000006</v>
      </c>
      <c r="I220" s="787">
        <f>(H220*$K$10)+H220</f>
        <v>8.7525464</v>
      </c>
      <c r="J220" s="788">
        <f>I220*G220</f>
        <v>1983.32701424</v>
      </c>
      <c r="K220" s="827"/>
      <c r="L220" s="522"/>
      <c r="M220" s="568">
        <v>0.65</v>
      </c>
      <c r="N220" s="569">
        <v>10.96</v>
      </c>
      <c r="O220" s="639"/>
      <c r="P220" s="535"/>
    </row>
    <row r="221" spans="1:16" s="641" customFormat="1" ht="38.25">
      <c r="A221" s="814" t="s">
        <v>504</v>
      </c>
      <c r="B221" s="815"/>
      <c r="C221" s="853" t="s">
        <v>17</v>
      </c>
      <c r="D221" s="856" t="s">
        <v>45</v>
      </c>
      <c r="E221" s="857" t="s">
        <v>37</v>
      </c>
      <c r="F221" s="854" t="s">
        <v>30</v>
      </c>
      <c r="G221" s="810">
        <v>3</v>
      </c>
      <c r="H221" s="787">
        <f>N221*M221</f>
        <v>273.611</v>
      </c>
      <c r="I221" s="787">
        <f>(H221*$K$10)+H221</f>
        <v>336.1584746</v>
      </c>
      <c r="J221" s="788">
        <f>I221*G221</f>
        <v>1008.4754237999999</v>
      </c>
      <c r="K221" s="827"/>
      <c r="L221" s="522"/>
      <c r="M221" s="568">
        <v>0.65</v>
      </c>
      <c r="N221" s="569">
        <v>420.94</v>
      </c>
      <c r="O221" s="639"/>
      <c r="P221" s="535"/>
    </row>
    <row r="222" spans="1:16" s="641" customFormat="1" ht="38.25">
      <c r="A222" s="814" t="s">
        <v>505</v>
      </c>
      <c r="B222" s="815"/>
      <c r="C222" s="853" t="s">
        <v>17</v>
      </c>
      <c r="D222" s="853" t="s">
        <v>78</v>
      </c>
      <c r="E222" s="798" t="s">
        <v>79</v>
      </c>
      <c r="F222" s="853" t="s">
        <v>19</v>
      </c>
      <c r="G222" s="810">
        <f>(6.51*2.1)*3</f>
        <v>41.013</v>
      </c>
      <c r="H222" s="787">
        <f>N222*M222</f>
        <v>7.1240000000000006</v>
      </c>
      <c r="I222" s="787">
        <f>(H222*$K$10)+H222</f>
        <v>8.7525464</v>
      </c>
      <c r="J222" s="788">
        <f>I222*G222</f>
        <v>358.9681855032</v>
      </c>
      <c r="K222" s="827"/>
      <c r="L222" s="522"/>
      <c r="M222" s="568">
        <v>0.65</v>
      </c>
      <c r="N222" s="569">
        <v>10.96</v>
      </c>
      <c r="O222" s="639"/>
      <c r="P222" s="535"/>
    </row>
    <row r="223" spans="1:16" s="641" customFormat="1" ht="38.25">
      <c r="A223" s="814" t="s">
        <v>506</v>
      </c>
      <c r="B223" s="815"/>
      <c r="C223" s="853" t="s">
        <v>17</v>
      </c>
      <c r="D223" s="853" t="s">
        <v>81</v>
      </c>
      <c r="E223" s="798" t="s">
        <v>82</v>
      </c>
      <c r="F223" s="853" t="s">
        <v>19</v>
      </c>
      <c r="G223" s="810">
        <f>(6.51*2.1)*3</f>
        <v>41.013</v>
      </c>
      <c r="H223" s="787">
        <f>N223*M223</f>
        <v>2.9120000000000004</v>
      </c>
      <c r="I223" s="787">
        <f>(H223*$K$10)+H223</f>
        <v>3.5776832000000005</v>
      </c>
      <c r="J223" s="788">
        <f>I223*G223</f>
        <v>146.73152108160002</v>
      </c>
      <c r="K223" s="827"/>
      <c r="L223" s="522"/>
      <c r="M223" s="568">
        <v>0.65</v>
      </c>
      <c r="N223" s="569">
        <v>4.48</v>
      </c>
      <c r="O223" s="639"/>
      <c r="P223" s="535"/>
    </row>
    <row r="224" spans="1:16" s="641" customFormat="1" ht="12.75">
      <c r="A224" s="770"/>
      <c r="B224" s="771"/>
      <c r="C224" s="773"/>
      <c r="D224" s="773"/>
      <c r="E224" s="773" t="s">
        <v>53</v>
      </c>
      <c r="F224" s="773"/>
      <c r="G224" s="851"/>
      <c r="H224" s="851"/>
      <c r="I224" s="851"/>
      <c r="J224" s="800">
        <f>SUM(J206:J219,J220:J221)</f>
        <v>119852.264856012</v>
      </c>
      <c r="K224" s="852">
        <f>J224+K202</f>
        <v>809178.8429852215</v>
      </c>
      <c r="L224" s="522"/>
      <c r="M224" s="568">
        <v>0.65</v>
      </c>
      <c r="N224" s="569"/>
      <c r="O224" s="639"/>
      <c r="P224" s="535"/>
    </row>
    <row r="225" spans="1:16" s="641" customFormat="1" ht="12.75">
      <c r="A225" s="846"/>
      <c r="B225" s="847"/>
      <c r="C225" s="816"/>
      <c r="D225" s="816"/>
      <c r="E225" s="816"/>
      <c r="F225" s="816"/>
      <c r="G225" s="858"/>
      <c r="H225" s="858"/>
      <c r="I225" s="858"/>
      <c r="J225" s="817"/>
      <c r="K225" s="818"/>
      <c r="L225" s="522"/>
      <c r="M225" s="568">
        <v>0.65</v>
      </c>
      <c r="N225" s="569"/>
      <c r="O225" s="639"/>
      <c r="P225" s="535"/>
    </row>
    <row r="226" spans="1:16" ht="12.75">
      <c r="A226" s="770">
        <v>8</v>
      </c>
      <c r="B226" s="771"/>
      <c r="C226" s="772"/>
      <c r="D226" s="772"/>
      <c r="E226" s="773" t="s">
        <v>83</v>
      </c>
      <c r="F226" s="772"/>
      <c r="G226" s="774"/>
      <c r="H226" s="774"/>
      <c r="I226" s="774"/>
      <c r="J226" s="819"/>
      <c r="K226" s="820"/>
      <c r="L226" s="522"/>
      <c r="M226" s="568">
        <v>0.65</v>
      </c>
      <c r="N226" s="522"/>
      <c r="O226" s="522"/>
      <c r="P226" s="535"/>
    </row>
    <row r="227" spans="1:16" ht="133.5" customHeight="1">
      <c r="A227" s="814" t="s">
        <v>68</v>
      </c>
      <c r="B227" s="815"/>
      <c r="C227" s="795" t="s">
        <v>17</v>
      </c>
      <c r="D227" s="795" t="s">
        <v>85</v>
      </c>
      <c r="E227" s="495" t="s">
        <v>86</v>
      </c>
      <c r="F227" s="795" t="s">
        <v>9</v>
      </c>
      <c r="G227" s="787">
        <f>23+16+1+14+21+1+1</f>
        <v>77</v>
      </c>
      <c r="H227" s="787">
        <f>N227*M227</f>
        <v>149.8965</v>
      </c>
      <c r="I227" s="787">
        <f>(H227*$K$10)+H227</f>
        <v>184.1628399</v>
      </c>
      <c r="J227" s="788">
        <f>I227*G227</f>
        <v>14180.5386723</v>
      </c>
      <c r="K227" s="827"/>
      <c r="L227" s="522"/>
      <c r="M227" s="568">
        <v>0.65</v>
      </c>
      <c r="N227" s="569">
        <v>230.61</v>
      </c>
      <c r="O227" s="522"/>
      <c r="P227" s="535">
        <f>J227</f>
        <v>14180.5386723</v>
      </c>
    </row>
    <row r="228" spans="1:16" ht="54.75" customHeight="1">
      <c r="A228" s="814" t="s">
        <v>72</v>
      </c>
      <c r="B228" s="815"/>
      <c r="C228" s="795" t="s">
        <v>41</v>
      </c>
      <c r="D228" s="795">
        <v>93128</v>
      </c>
      <c r="E228" s="495" t="s">
        <v>88</v>
      </c>
      <c r="F228" s="795" t="s">
        <v>9</v>
      </c>
      <c r="G228" s="787">
        <v>114</v>
      </c>
      <c r="H228" s="787">
        <f>N228*M228</f>
        <v>72.852</v>
      </c>
      <c r="I228" s="787">
        <f>(H228*$K$10)+H228</f>
        <v>89.5059672</v>
      </c>
      <c r="J228" s="788">
        <f>I228*G228</f>
        <v>10203.6802608</v>
      </c>
      <c r="K228" s="859"/>
      <c r="L228" s="522"/>
      <c r="M228" s="568">
        <v>0.65</v>
      </c>
      <c r="N228" s="569">
        <v>112.08</v>
      </c>
      <c r="O228" s="522"/>
      <c r="P228" s="535">
        <f>J228</f>
        <v>10203.6802608</v>
      </c>
    </row>
    <row r="229" spans="1:16" ht="54.75" customHeight="1">
      <c r="A229" s="814" t="s">
        <v>164</v>
      </c>
      <c r="B229" s="815"/>
      <c r="C229" s="853" t="s">
        <v>17</v>
      </c>
      <c r="D229" s="853" t="s">
        <v>474</v>
      </c>
      <c r="E229" s="798" t="s">
        <v>473</v>
      </c>
      <c r="F229" s="795" t="s">
        <v>9</v>
      </c>
      <c r="G229" s="810">
        <f>G228</f>
        <v>114</v>
      </c>
      <c r="H229" s="810">
        <v>114.95</v>
      </c>
      <c r="I229" s="787">
        <f>(H229*$K$10)+H229</f>
        <v>141.22757000000001</v>
      </c>
      <c r="J229" s="788">
        <f>I229*G229</f>
        <v>16099.942980000002</v>
      </c>
      <c r="K229" s="859"/>
      <c r="L229" s="522"/>
      <c r="M229" s="568"/>
      <c r="N229" s="569"/>
      <c r="O229" s="522"/>
      <c r="P229" s="535"/>
    </row>
    <row r="230" spans="1:16" ht="25.5" customHeight="1">
      <c r="A230" s="814" t="s">
        <v>221</v>
      </c>
      <c r="B230" s="815"/>
      <c r="C230" s="795" t="s">
        <v>17</v>
      </c>
      <c r="D230" s="795" t="s">
        <v>452</v>
      </c>
      <c r="E230" s="495" t="s">
        <v>451</v>
      </c>
      <c r="F230" s="795" t="s">
        <v>9</v>
      </c>
      <c r="G230" s="787">
        <v>1</v>
      </c>
      <c r="H230" s="787">
        <v>228.57</v>
      </c>
      <c r="I230" s="787">
        <f>(H230*$K$10)+H230</f>
        <v>280.821102</v>
      </c>
      <c r="J230" s="788">
        <f>I230*G230</f>
        <v>280.821102</v>
      </c>
      <c r="K230" s="859"/>
      <c r="L230" s="522"/>
      <c r="M230" s="568"/>
      <c r="N230" s="569"/>
      <c r="O230" s="522"/>
      <c r="P230" s="535"/>
    </row>
    <row r="231" spans="1:16" ht="12.75">
      <c r="A231" s="814" t="s">
        <v>407</v>
      </c>
      <c r="B231" s="860"/>
      <c r="C231" s="853" t="s">
        <v>17</v>
      </c>
      <c r="D231" s="853" t="s">
        <v>450</v>
      </c>
      <c r="E231" s="798" t="s">
        <v>449</v>
      </c>
      <c r="F231" s="795" t="s">
        <v>9</v>
      </c>
      <c r="G231" s="810">
        <v>1</v>
      </c>
      <c r="H231" s="810">
        <v>52.88</v>
      </c>
      <c r="I231" s="810">
        <f aca="true" t="shared" si="22" ref="I231:I236">(H231*$K$10)+H231</f>
        <v>64.968368</v>
      </c>
      <c r="J231" s="811">
        <f>I231*G231</f>
        <v>64.968368</v>
      </c>
      <c r="K231" s="861"/>
      <c r="L231" s="522"/>
      <c r="M231" s="568"/>
      <c r="N231" s="569"/>
      <c r="O231" s="522"/>
      <c r="P231" s="535"/>
    </row>
    <row r="232" spans="1:16" ht="25.5">
      <c r="A232" s="814" t="s">
        <v>408</v>
      </c>
      <c r="B232" s="686"/>
      <c r="C232" s="795" t="s">
        <v>285</v>
      </c>
      <c r="D232" s="795">
        <v>90458</v>
      </c>
      <c r="E232" s="495" t="s">
        <v>453</v>
      </c>
      <c r="F232" s="795" t="s">
        <v>9</v>
      </c>
      <c r="G232" s="787">
        <v>1</v>
      </c>
      <c r="H232" s="787">
        <v>19.97</v>
      </c>
      <c r="I232" s="787">
        <f t="shared" si="22"/>
        <v>24.535142</v>
      </c>
      <c r="J232" s="862">
        <f>(I232*$K$10)+I232</f>
        <v>30.1438754612</v>
      </c>
      <c r="K232" s="859"/>
      <c r="L232" s="522"/>
      <c r="M232" s="568"/>
      <c r="N232" s="569"/>
      <c r="O232" s="522"/>
      <c r="P232" s="535"/>
    </row>
    <row r="233" spans="1:16" ht="38.25">
      <c r="A233" s="814" t="s">
        <v>409</v>
      </c>
      <c r="B233" s="686"/>
      <c r="C233" s="795" t="s">
        <v>17</v>
      </c>
      <c r="D233" s="795" t="s">
        <v>463</v>
      </c>
      <c r="E233" s="495" t="s">
        <v>462</v>
      </c>
      <c r="F233" s="795" t="s">
        <v>172</v>
      </c>
      <c r="G233" s="787">
        <v>84.3</v>
      </c>
      <c r="H233" s="787">
        <v>2.5</v>
      </c>
      <c r="I233" s="787">
        <f t="shared" si="22"/>
        <v>3.0715</v>
      </c>
      <c r="J233" s="788">
        <f>I233*G233</f>
        <v>258.92744999999996</v>
      </c>
      <c r="K233" s="859"/>
      <c r="L233" s="522"/>
      <c r="M233" s="568"/>
      <c r="N233" s="569"/>
      <c r="O233" s="522"/>
      <c r="P233" s="535"/>
    </row>
    <row r="234" spans="1:16" ht="38.25">
      <c r="A234" s="814" t="s">
        <v>410</v>
      </c>
      <c r="B234" s="686"/>
      <c r="C234" s="795" t="s">
        <v>17</v>
      </c>
      <c r="D234" s="795" t="s">
        <v>465</v>
      </c>
      <c r="E234" s="495" t="s">
        <v>464</v>
      </c>
      <c r="F234" s="795" t="s">
        <v>172</v>
      </c>
      <c r="G234" s="787">
        <v>2025.7</v>
      </c>
      <c r="H234" s="787">
        <v>4.08</v>
      </c>
      <c r="I234" s="787">
        <f t="shared" si="22"/>
        <v>5.012688</v>
      </c>
      <c r="J234" s="788">
        <f>I234*G234</f>
        <v>10154.2020816</v>
      </c>
      <c r="K234" s="859"/>
      <c r="L234" s="522"/>
      <c r="M234" s="568"/>
      <c r="N234" s="569"/>
      <c r="O234" s="522"/>
      <c r="P234" s="535"/>
    </row>
    <row r="235" spans="1:16" ht="38.25">
      <c r="A235" s="814" t="s">
        <v>411</v>
      </c>
      <c r="B235" s="686"/>
      <c r="C235" s="795" t="s">
        <v>17</v>
      </c>
      <c r="D235" s="795" t="s">
        <v>467</v>
      </c>
      <c r="E235" s="495" t="s">
        <v>466</v>
      </c>
      <c r="F235" s="795" t="s">
        <v>172</v>
      </c>
      <c r="G235" s="787">
        <v>306.4</v>
      </c>
      <c r="H235" s="787">
        <v>5.72</v>
      </c>
      <c r="I235" s="787">
        <f t="shared" si="22"/>
        <v>7.027591999999999</v>
      </c>
      <c r="J235" s="788">
        <f>I235*G235</f>
        <v>2153.2541887999996</v>
      </c>
      <c r="K235" s="859"/>
      <c r="L235" s="522"/>
      <c r="M235" s="568"/>
      <c r="N235" s="569"/>
      <c r="O235" s="522"/>
      <c r="P235" s="535"/>
    </row>
    <row r="236" spans="1:16" ht="12.75" customHeight="1">
      <c r="A236" s="814" t="s">
        <v>412</v>
      </c>
      <c r="B236" s="686"/>
      <c r="C236" s="795" t="s">
        <v>17</v>
      </c>
      <c r="D236" s="795" t="s">
        <v>469</v>
      </c>
      <c r="E236" s="495" t="s">
        <v>468</v>
      </c>
      <c r="F236" s="795" t="s">
        <v>172</v>
      </c>
      <c r="G236" s="787">
        <v>237.1</v>
      </c>
      <c r="H236" s="787">
        <v>8.18</v>
      </c>
      <c r="I236" s="787">
        <f t="shared" si="22"/>
        <v>10.049948</v>
      </c>
      <c r="J236" s="788">
        <f>I236*G236</f>
        <v>2382.8426708</v>
      </c>
      <c r="K236" s="859"/>
      <c r="L236" s="522"/>
      <c r="M236" s="568"/>
      <c r="N236" s="569"/>
      <c r="O236" s="522"/>
      <c r="P236" s="535"/>
    </row>
    <row r="237" spans="1:16" ht="12.75" customHeight="1">
      <c r="A237" s="770"/>
      <c r="B237" s="771"/>
      <c r="C237" s="773"/>
      <c r="D237" s="773"/>
      <c r="E237" s="773" t="s">
        <v>53</v>
      </c>
      <c r="F237" s="773"/>
      <c r="G237" s="851"/>
      <c r="H237" s="851"/>
      <c r="I237" s="851"/>
      <c r="J237" s="800">
        <f>SUM(J227:J236)</f>
        <v>55809.3216497612</v>
      </c>
      <c r="K237" s="863">
        <f>J237+K224</f>
        <v>864988.1646349827</v>
      </c>
      <c r="L237" s="522"/>
      <c r="M237" s="568">
        <v>0.65</v>
      </c>
      <c r="N237" s="569">
        <v>0</v>
      </c>
      <c r="O237" s="522"/>
      <c r="P237" s="535"/>
    </row>
    <row r="238" spans="1:16" ht="12.75">
      <c r="A238" s="864"/>
      <c r="B238" s="865"/>
      <c r="C238" s="866"/>
      <c r="D238" s="867"/>
      <c r="E238" s="866"/>
      <c r="F238" s="866"/>
      <c r="G238" s="787"/>
      <c r="H238" s="787"/>
      <c r="I238" s="787"/>
      <c r="J238" s="788"/>
      <c r="K238" s="859"/>
      <c r="L238" s="522"/>
      <c r="M238" s="568">
        <v>0.65</v>
      </c>
      <c r="N238" s="569">
        <v>0</v>
      </c>
      <c r="O238" s="522"/>
      <c r="P238" s="535"/>
    </row>
    <row r="239" spans="1:16" ht="12.75">
      <c r="A239" s="770">
        <v>9</v>
      </c>
      <c r="B239" s="771"/>
      <c r="C239" s="772"/>
      <c r="D239" s="772"/>
      <c r="E239" s="773" t="s">
        <v>226</v>
      </c>
      <c r="F239" s="772"/>
      <c r="G239" s="774"/>
      <c r="H239" s="774"/>
      <c r="I239" s="774"/>
      <c r="J239" s="781"/>
      <c r="K239" s="868"/>
      <c r="L239" s="522"/>
      <c r="M239" s="568">
        <v>0.65</v>
      </c>
      <c r="N239" s="569">
        <v>0</v>
      </c>
      <c r="O239" s="522"/>
      <c r="P239" s="535"/>
    </row>
    <row r="240" spans="1:16" ht="51">
      <c r="A240" s="869" t="s">
        <v>76</v>
      </c>
      <c r="B240" s="870"/>
      <c r="C240" s="795" t="s">
        <v>17</v>
      </c>
      <c r="D240" s="795" t="s">
        <v>235</v>
      </c>
      <c r="E240" s="495" t="s">
        <v>236</v>
      </c>
      <c r="F240" s="795" t="s">
        <v>172</v>
      </c>
      <c r="G240" s="787">
        <v>1</v>
      </c>
      <c r="H240" s="787">
        <f aca="true" t="shared" si="23" ref="H240:H251">N240*M240</f>
        <v>39.0325</v>
      </c>
      <c r="I240" s="787">
        <f aca="true" t="shared" si="24" ref="I240:I251">(H240*$K$10)+H240</f>
        <v>47.9553295</v>
      </c>
      <c r="J240" s="788">
        <f aca="true" t="shared" si="25" ref="J240:J251">I240*G240</f>
        <v>47.9553295</v>
      </c>
      <c r="K240" s="859"/>
      <c r="L240" s="522"/>
      <c r="M240" s="568">
        <v>0.65</v>
      </c>
      <c r="N240" s="569">
        <v>60.05</v>
      </c>
      <c r="O240" s="522"/>
      <c r="P240" s="535">
        <f aca="true" t="shared" si="26" ref="P240:P254">J240</f>
        <v>47.9553295</v>
      </c>
    </row>
    <row r="241" spans="1:16" ht="51">
      <c r="A241" s="869" t="s">
        <v>80</v>
      </c>
      <c r="B241" s="870"/>
      <c r="C241" s="795" t="s">
        <v>17</v>
      </c>
      <c r="D241" s="795" t="s">
        <v>178</v>
      </c>
      <c r="E241" s="495" t="s">
        <v>179</v>
      </c>
      <c r="F241" s="795" t="s">
        <v>9</v>
      </c>
      <c r="G241" s="787">
        <v>2</v>
      </c>
      <c r="H241" s="787">
        <f t="shared" si="23"/>
        <v>31.8565</v>
      </c>
      <c r="I241" s="787">
        <f t="shared" si="24"/>
        <v>39.1388959</v>
      </c>
      <c r="J241" s="788">
        <f t="shared" si="25"/>
        <v>78.2777918</v>
      </c>
      <c r="K241" s="859"/>
      <c r="L241" s="522"/>
      <c r="M241" s="568">
        <v>0.65</v>
      </c>
      <c r="N241" s="569">
        <v>49.01</v>
      </c>
      <c r="O241" s="522"/>
      <c r="P241" s="535">
        <f t="shared" si="26"/>
        <v>78.2777918</v>
      </c>
    </row>
    <row r="242" spans="1:16" ht="51">
      <c r="A242" s="869" t="s">
        <v>165</v>
      </c>
      <c r="B242" s="870"/>
      <c r="C242" s="795" t="s">
        <v>17</v>
      </c>
      <c r="D242" s="795" t="s">
        <v>181</v>
      </c>
      <c r="E242" s="495" t="s">
        <v>182</v>
      </c>
      <c r="F242" s="795" t="s">
        <v>9</v>
      </c>
      <c r="G242" s="787">
        <v>6</v>
      </c>
      <c r="H242" s="787">
        <f t="shared" si="23"/>
        <v>56.71900000000001</v>
      </c>
      <c r="I242" s="787">
        <f t="shared" si="24"/>
        <v>69.68496340000002</v>
      </c>
      <c r="J242" s="788">
        <f t="shared" si="25"/>
        <v>418.1097804000001</v>
      </c>
      <c r="K242" s="859"/>
      <c r="L242" s="522"/>
      <c r="M242" s="568">
        <v>0.65</v>
      </c>
      <c r="N242" s="569">
        <v>87.26</v>
      </c>
      <c r="O242" s="522"/>
      <c r="P242" s="535">
        <f t="shared" si="26"/>
        <v>418.1097804000001</v>
      </c>
    </row>
    <row r="243" spans="1:16" ht="51">
      <c r="A243" s="869" t="s">
        <v>166</v>
      </c>
      <c r="B243" s="870"/>
      <c r="C243" s="795" t="s">
        <v>17</v>
      </c>
      <c r="D243" s="795" t="s">
        <v>382</v>
      </c>
      <c r="E243" s="495" t="s">
        <v>383</v>
      </c>
      <c r="F243" s="795" t="s">
        <v>9</v>
      </c>
      <c r="G243" s="787">
        <v>2</v>
      </c>
      <c r="H243" s="787">
        <f t="shared" si="23"/>
        <v>720.1740000000001</v>
      </c>
      <c r="I243" s="787">
        <f t="shared" si="24"/>
        <v>884.8057764000001</v>
      </c>
      <c r="J243" s="788">
        <f t="shared" si="25"/>
        <v>1769.6115528000003</v>
      </c>
      <c r="K243" s="859"/>
      <c r="L243" s="522"/>
      <c r="M243" s="568">
        <v>0.65</v>
      </c>
      <c r="N243" s="569">
        <v>1107.96</v>
      </c>
      <c r="O243" s="522"/>
      <c r="P243" s="535">
        <f t="shared" si="26"/>
        <v>1769.6115528000003</v>
      </c>
    </row>
    <row r="244" spans="1:16" ht="76.5">
      <c r="A244" s="869" t="s">
        <v>167</v>
      </c>
      <c r="B244" s="871"/>
      <c r="C244" s="795" t="s">
        <v>17</v>
      </c>
      <c r="D244" s="795" t="s">
        <v>237</v>
      </c>
      <c r="E244" s="495" t="s">
        <v>238</v>
      </c>
      <c r="F244" s="795" t="s">
        <v>9</v>
      </c>
      <c r="G244" s="787">
        <v>6</v>
      </c>
      <c r="H244" s="787">
        <f>N244*M244</f>
        <v>224.4515</v>
      </c>
      <c r="I244" s="787">
        <f>(H244*$K$10)+H244</f>
        <v>275.7611129</v>
      </c>
      <c r="J244" s="788">
        <f>I244*G244</f>
        <v>1654.5666774000001</v>
      </c>
      <c r="K244" s="859"/>
      <c r="L244" s="522"/>
      <c r="M244" s="568">
        <v>0.65</v>
      </c>
      <c r="N244" s="569">
        <v>345.31</v>
      </c>
      <c r="O244" s="522"/>
      <c r="P244" s="535">
        <f t="shared" si="26"/>
        <v>1654.5666774000001</v>
      </c>
    </row>
    <row r="245" spans="1:16" ht="51">
      <c r="A245" s="869" t="s">
        <v>168</v>
      </c>
      <c r="B245" s="870"/>
      <c r="C245" s="795" t="s">
        <v>17</v>
      </c>
      <c r="D245" s="795" t="s">
        <v>185</v>
      </c>
      <c r="E245" s="495" t="s">
        <v>399</v>
      </c>
      <c r="F245" s="795" t="s">
        <v>9</v>
      </c>
      <c r="G245" s="787">
        <v>6</v>
      </c>
      <c r="H245" s="787">
        <f>N245*M245</f>
        <v>115.9015</v>
      </c>
      <c r="I245" s="787">
        <f>(H245*$K$10)+H245</f>
        <v>142.3965829</v>
      </c>
      <c r="J245" s="788">
        <f>I245*G245</f>
        <v>854.3794974</v>
      </c>
      <c r="K245" s="859"/>
      <c r="L245" s="522"/>
      <c r="M245" s="568">
        <v>0.65</v>
      </c>
      <c r="N245" s="569">
        <v>178.31</v>
      </c>
      <c r="O245" s="522"/>
      <c r="P245" s="535">
        <f t="shared" si="26"/>
        <v>854.3794974</v>
      </c>
    </row>
    <row r="246" spans="1:16" ht="76.5">
      <c r="A246" s="869" t="s">
        <v>169</v>
      </c>
      <c r="B246" s="870"/>
      <c r="C246" s="795" t="s">
        <v>17</v>
      </c>
      <c r="D246" s="795" t="s">
        <v>384</v>
      </c>
      <c r="E246" s="495" t="s">
        <v>385</v>
      </c>
      <c r="F246" s="795" t="s">
        <v>9</v>
      </c>
      <c r="G246" s="787">
        <v>1</v>
      </c>
      <c r="H246" s="787">
        <f t="shared" si="23"/>
        <v>182.67600000000002</v>
      </c>
      <c r="I246" s="787">
        <f t="shared" si="24"/>
        <v>224.43573360000002</v>
      </c>
      <c r="J246" s="788">
        <f t="shared" si="25"/>
        <v>224.43573360000002</v>
      </c>
      <c r="K246" s="859"/>
      <c r="L246" s="522"/>
      <c r="M246" s="568">
        <v>0.65</v>
      </c>
      <c r="N246" s="569">
        <v>281.04</v>
      </c>
      <c r="O246" s="522"/>
      <c r="P246" s="535">
        <f t="shared" si="26"/>
        <v>224.43573360000002</v>
      </c>
    </row>
    <row r="247" spans="1:16" ht="38.25">
      <c r="A247" s="869" t="s">
        <v>170</v>
      </c>
      <c r="B247" s="870"/>
      <c r="C247" s="795" t="s">
        <v>17</v>
      </c>
      <c r="D247" s="795" t="s">
        <v>187</v>
      </c>
      <c r="E247" s="495" t="s">
        <v>188</v>
      </c>
      <c r="F247" s="795" t="s">
        <v>9</v>
      </c>
      <c r="G247" s="787">
        <v>6</v>
      </c>
      <c r="H247" s="787">
        <f t="shared" si="23"/>
        <v>125.72950000000002</v>
      </c>
      <c r="I247" s="787">
        <f t="shared" si="24"/>
        <v>154.4712637</v>
      </c>
      <c r="J247" s="788">
        <f t="shared" si="25"/>
        <v>926.8275822</v>
      </c>
      <c r="K247" s="859"/>
      <c r="L247" s="522"/>
      <c r="M247" s="568">
        <v>0.65</v>
      </c>
      <c r="N247" s="569">
        <v>193.43</v>
      </c>
      <c r="O247" s="522"/>
      <c r="P247" s="535">
        <f t="shared" si="26"/>
        <v>926.8275822</v>
      </c>
    </row>
    <row r="248" spans="1:16" ht="89.25">
      <c r="A248" s="869" t="s">
        <v>171</v>
      </c>
      <c r="B248" s="870"/>
      <c r="C248" s="795" t="s">
        <v>17</v>
      </c>
      <c r="D248" s="795" t="s">
        <v>239</v>
      </c>
      <c r="E248" s="495" t="s">
        <v>240</v>
      </c>
      <c r="F248" s="795" t="s">
        <v>9</v>
      </c>
      <c r="G248" s="787">
        <v>7</v>
      </c>
      <c r="H248" s="787">
        <f>N248*M248</f>
        <v>83.8565</v>
      </c>
      <c r="I248" s="787">
        <f>(H248*$K$10)+H248</f>
        <v>103.0260959</v>
      </c>
      <c r="J248" s="788">
        <f>I248*G248</f>
        <v>721.1826713</v>
      </c>
      <c r="K248" s="859"/>
      <c r="L248" s="522"/>
      <c r="M248" s="568">
        <v>0.65</v>
      </c>
      <c r="N248" s="569">
        <v>129.01</v>
      </c>
      <c r="O248" s="522"/>
      <c r="P248" s="535">
        <f t="shared" si="26"/>
        <v>721.1826713</v>
      </c>
    </row>
    <row r="249" spans="1:16" ht="63.75">
      <c r="A249" s="869" t="s">
        <v>386</v>
      </c>
      <c r="B249" s="870"/>
      <c r="C249" s="795" t="s">
        <v>17</v>
      </c>
      <c r="D249" s="795" t="s">
        <v>387</v>
      </c>
      <c r="E249" s="495" t="s">
        <v>388</v>
      </c>
      <c r="F249" s="795" t="s">
        <v>9</v>
      </c>
      <c r="G249" s="787">
        <v>6</v>
      </c>
      <c r="H249" s="787">
        <f>N249*M249</f>
        <v>174.525</v>
      </c>
      <c r="I249" s="787">
        <f>(H249*$K$10)+H249</f>
        <v>214.421415</v>
      </c>
      <c r="J249" s="788">
        <f>I249*G249</f>
        <v>1286.52849</v>
      </c>
      <c r="K249" s="859"/>
      <c r="L249" s="522"/>
      <c r="M249" s="568">
        <v>0.65</v>
      </c>
      <c r="N249" s="569">
        <v>268.5</v>
      </c>
      <c r="O249" s="522"/>
      <c r="P249" s="535">
        <f t="shared" si="26"/>
        <v>1286.52849</v>
      </c>
    </row>
    <row r="250" spans="1:16" ht="76.5">
      <c r="A250" s="869" t="s">
        <v>389</v>
      </c>
      <c r="B250" s="870"/>
      <c r="C250" s="795" t="s">
        <v>17</v>
      </c>
      <c r="D250" s="795" t="s">
        <v>247</v>
      </c>
      <c r="E250" s="495" t="s">
        <v>246</v>
      </c>
      <c r="F250" s="795" t="s">
        <v>9</v>
      </c>
      <c r="G250" s="787">
        <v>2</v>
      </c>
      <c r="H250" s="787">
        <f>N250*M250</f>
        <v>120.41250000000001</v>
      </c>
      <c r="I250" s="787">
        <f>(H250*$K$10)+H250</f>
        <v>147.93879750000002</v>
      </c>
      <c r="J250" s="788">
        <f>I250*G250</f>
        <v>295.87759500000004</v>
      </c>
      <c r="K250" s="859"/>
      <c r="L250" s="522"/>
      <c r="M250" s="568">
        <v>0.65</v>
      </c>
      <c r="N250" s="569">
        <v>185.25</v>
      </c>
      <c r="O250" s="522"/>
      <c r="P250" s="535">
        <f t="shared" si="26"/>
        <v>295.87759500000004</v>
      </c>
    </row>
    <row r="251" spans="1:16" ht="25.5">
      <c r="A251" s="869" t="s">
        <v>390</v>
      </c>
      <c r="B251" s="870"/>
      <c r="C251" s="795" t="s">
        <v>17</v>
      </c>
      <c r="D251" s="795" t="s">
        <v>280</v>
      </c>
      <c r="E251" s="495" t="s">
        <v>279</v>
      </c>
      <c r="F251" s="795" t="s">
        <v>19</v>
      </c>
      <c r="G251" s="787">
        <v>1.11</v>
      </c>
      <c r="H251" s="787">
        <f t="shared" si="23"/>
        <v>140.478</v>
      </c>
      <c r="I251" s="787">
        <f t="shared" si="24"/>
        <v>172.59127080000002</v>
      </c>
      <c r="J251" s="788">
        <f t="shared" si="25"/>
        <v>191.57631058800004</v>
      </c>
      <c r="K251" s="859"/>
      <c r="L251" s="522"/>
      <c r="M251" s="568">
        <v>0.65</v>
      </c>
      <c r="N251" s="569">
        <v>216.12</v>
      </c>
      <c r="O251" s="522"/>
      <c r="P251" s="535">
        <f t="shared" si="26"/>
        <v>191.57631058800004</v>
      </c>
    </row>
    <row r="252" spans="1:16" ht="51">
      <c r="A252" s="869" t="s">
        <v>391</v>
      </c>
      <c r="B252" s="815"/>
      <c r="C252" s="795" t="s">
        <v>17</v>
      </c>
      <c r="D252" s="795" t="s">
        <v>248</v>
      </c>
      <c r="E252" s="872" t="s">
        <v>249</v>
      </c>
      <c r="F252" s="795" t="s">
        <v>55</v>
      </c>
      <c r="G252" s="787">
        <v>6</v>
      </c>
      <c r="H252" s="787">
        <f>N252*M252</f>
        <v>159.783</v>
      </c>
      <c r="I252" s="787">
        <f>(H252*$K$10)+H252</f>
        <v>196.30939379999998</v>
      </c>
      <c r="J252" s="788">
        <f>I252*G252</f>
        <v>1177.8563628</v>
      </c>
      <c r="K252" s="827"/>
      <c r="L252" s="522"/>
      <c r="M252" s="568">
        <v>0.65</v>
      </c>
      <c r="N252" s="569">
        <v>245.82</v>
      </c>
      <c r="O252" s="522"/>
      <c r="P252" s="535">
        <f t="shared" si="26"/>
        <v>1177.8563628</v>
      </c>
    </row>
    <row r="253" spans="1:16" ht="51">
      <c r="A253" s="869" t="s">
        <v>392</v>
      </c>
      <c r="B253" s="815"/>
      <c r="C253" s="795" t="s">
        <v>17</v>
      </c>
      <c r="D253" s="795" t="s">
        <v>243</v>
      </c>
      <c r="E253" s="495" t="s">
        <v>244</v>
      </c>
      <c r="F253" s="795" t="s">
        <v>55</v>
      </c>
      <c r="G253" s="787">
        <v>1</v>
      </c>
      <c r="H253" s="787">
        <f>N253*M253</f>
        <v>100.63950000000001</v>
      </c>
      <c r="I253" s="787">
        <f>(H253*$K$10)+H253</f>
        <v>123.64568970000002</v>
      </c>
      <c r="J253" s="788">
        <f>I253*G253</f>
        <v>123.64568970000002</v>
      </c>
      <c r="K253" s="859"/>
      <c r="L253" s="522"/>
      <c r="M253" s="568">
        <v>0.65</v>
      </c>
      <c r="N253" s="569">
        <v>154.83</v>
      </c>
      <c r="O253" s="522"/>
      <c r="P253" s="535">
        <f t="shared" si="26"/>
        <v>123.64568970000002</v>
      </c>
    </row>
    <row r="254" spans="1:16" ht="12.75">
      <c r="A254" s="814" t="s">
        <v>393</v>
      </c>
      <c r="B254" s="815"/>
      <c r="C254" s="795" t="s">
        <v>17</v>
      </c>
      <c r="D254" s="795" t="s">
        <v>274</v>
      </c>
      <c r="E254" s="495" t="s">
        <v>273</v>
      </c>
      <c r="F254" s="795" t="s">
        <v>55</v>
      </c>
      <c r="G254" s="787">
        <v>6</v>
      </c>
      <c r="H254" s="787">
        <f>N254*M254</f>
        <v>17.660500000000003</v>
      </c>
      <c r="I254" s="787">
        <f>(H254*$K$10)+H254</f>
        <v>21.697690300000005</v>
      </c>
      <c r="J254" s="788">
        <f>I254*G254</f>
        <v>130.18614180000003</v>
      </c>
      <c r="K254" s="859"/>
      <c r="L254" s="522"/>
      <c r="M254" s="568">
        <v>0.65</v>
      </c>
      <c r="N254" s="569">
        <v>27.17</v>
      </c>
      <c r="O254" s="522"/>
      <c r="P254" s="535">
        <f t="shared" si="26"/>
        <v>130.18614180000003</v>
      </c>
    </row>
    <row r="255" spans="1:16" ht="12.75" customHeight="1">
      <c r="A255" s="770"/>
      <c r="B255" s="771"/>
      <c r="C255" s="772"/>
      <c r="D255" s="772"/>
      <c r="E255" s="773" t="s">
        <v>53</v>
      </c>
      <c r="F255" s="773"/>
      <c r="G255" s="774"/>
      <c r="H255" s="774"/>
      <c r="I255" s="774"/>
      <c r="J255" s="800">
        <f>SUM(J240:J254)</f>
        <v>9901.017206288001</v>
      </c>
      <c r="K255" s="801">
        <f>J255+K237</f>
        <v>874889.1818412708</v>
      </c>
      <c r="L255" s="522"/>
      <c r="M255" s="568">
        <v>0.65</v>
      </c>
      <c r="N255" s="522"/>
      <c r="O255" s="522"/>
      <c r="P255" s="535"/>
    </row>
    <row r="256" spans="1:16" ht="12.75" customHeight="1">
      <c r="A256" s="846"/>
      <c r="B256" s="847"/>
      <c r="C256" s="795"/>
      <c r="D256" s="795"/>
      <c r="E256" s="816"/>
      <c r="F256" s="816"/>
      <c r="G256" s="787"/>
      <c r="H256" s="787"/>
      <c r="I256" s="787"/>
      <c r="J256" s="817"/>
      <c r="K256" s="824"/>
      <c r="L256" s="522"/>
      <c r="M256" s="568">
        <v>0.65</v>
      </c>
      <c r="N256" s="522"/>
      <c r="O256" s="522"/>
      <c r="P256" s="535"/>
    </row>
    <row r="257" spans="1:16" ht="12.75" customHeight="1">
      <c r="A257" s="873">
        <v>10</v>
      </c>
      <c r="B257" s="874"/>
      <c r="C257" s="875"/>
      <c r="D257" s="876"/>
      <c r="E257" s="773" t="s">
        <v>489</v>
      </c>
      <c r="F257" s="875"/>
      <c r="G257" s="774"/>
      <c r="H257" s="774"/>
      <c r="I257" s="774"/>
      <c r="J257" s="875"/>
      <c r="K257" s="877"/>
      <c r="L257" s="522"/>
      <c r="M257" s="568">
        <v>0.65</v>
      </c>
      <c r="N257" s="522"/>
      <c r="O257" s="522"/>
      <c r="P257" s="535"/>
    </row>
    <row r="258" spans="1:16" ht="62.25" customHeight="1">
      <c r="A258" s="878" t="s">
        <v>84</v>
      </c>
      <c r="B258" s="865"/>
      <c r="C258" s="807" t="s">
        <v>17</v>
      </c>
      <c r="D258" s="808" t="s">
        <v>394</v>
      </c>
      <c r="E258" s="879" t="s">
        <v>415</v>
      </c>
      <c r="F258" s="807" t="s">
        <v>55</v>
      </c>
      <c r="G258" s="854">
        <v>4</v>
      </c>
      <c r="H258" s="787">
        <f aca="true" t="shared" si="27" ref="H258:H265">N258*M258</f>
        <v>64.48</v>
      </c>
      <c r="I258" s="787">
        <f aca="true" t="shared" si="28" ref="I258:I266">(H258*$K$10)+H258</f>
        <v>79.220128</v>
      </c>
      <c r="J258" s="788">
        <f aca="true" t="shared" si="29" ref="J258:J265">I258*G258</f>
        <v>316.880512</v>
      </c>
      <c r="K258" s="859"/>
      <c r="L258" s="522"/>
      <c r="M258" s="568">
        <v>0.65</v>
      </c>
      <c r="N258" s="714">
        <v>99.2</v>
      </c>
      <c r="O258" s="522"/>
      <c r="P258" s="535">
        <f aca="true" t="shared" si="30" ref="P258:P265">J258</f>
        <v>316.880512</v>
      </c>
    </row>
    <row r="259" spans="1:16" ht="62.25" customHeight="1">
      <c r="A259" s="878" t="s">
        <v>87</v>
      </c>
      <c r="B259" s="880"/>
      <c r="C259" s="807" t="s">
        <v>17</v>
      </c>
      <c r="D259" s="808" t="s">
        <v>493</v>
      </c>
      <c r="E259" s="879" t="s">
        <v>492</v>
      </c>
      <c r="F259" s="807" t="s">
        <v>55</v>
      </c>
      <c r="G259" s="854">
        <v>4</v>
      </c>
      <c r="H259" s="787">
        <f>N259*M259</f>
        <v>139.5875</v>
      </c>
      <c r="I259" s="787">
        <f>(H259*$K$10)+H259</f>
        <v>171.49720250000001</v>
      </c>
      <c r="J259" s="788">
        <f>I259*G259</f>
        <v>685.9888100000001</v>
      </c>
      <c r="K259" s="859"/>
      <c r="L259" s="522"/>
      <c r="M259" s="568">
        <v>0.65</v>
      </c>
      <c r="N259" s="714">
        <v>214.75</v>
      </c>
      <c r="O259" s="522"/>
      <c r="P259" s="535"/>
    </row>
    <row r="260" spans="1:16" ht="62.25" customHeight="1">
      <c r="A260" s="878" t="s">
        <v>173</v>
      </c>
      <c r="B260" s="880"/>
      <c r="C260" s="807" t="s">
        <v>17</v>
      </c>
      <c r="D260" s="808" t="s">
        <v>494</v>
      </c>
      <c r="E260" s="879" t="s">
        <v>495</v>
      </c>
      <c r="F260" s="807" t="s">
        <v>55</v>
      </c>
      <c r="G260" s="854">
        <v>2</v>
      </c>
      <c r="H260" s="810">
        <f>N260*M260</f>
        <v>131.6315</v>
      </c>
      <c r="I260" s="787">
        <f>(H260*$K$10)+H260</f>
        <v>161.7224609</v>
      </c>
      <c r="J260" s="788">
        <f>I260*G260</f>
        <v>323.4449218</v>
      </c>
      <c r="K260" s="859"/>
      <c r="L260" s="522"/>
      <c r="M260" s="568">
        <v>0.65</v>
      </c>
      <c r="N260" s="714">
        <v>202.51</v>
      </c>
      <c r="O260" s="522"/>
      <c r="P260" s="535"/>
    </row>
    <row r="261" spans="1:16" ht="12.75">
      <c r="A261" s="878" t="s">
        <v>174</v>
      </c>
      <c r="B261" s="865"/>
      <c r="C261" s="795" t="s">
        <v>17</v>
      </c>
      <c r="D261" s="795" t="s">
        <v>256</v>
      </c>
      <c r="E261" s="495" t="s">
        <v>395</v>
      </c>
      <c r="F261" s="795" t="s">
        <v>55</v>
      </c>
      <c r="G261" s="787">
        <v>2</v>
      </c>
      <c r="H261" s="787">
        <f t="shared" si="27"/>
        <v>34.6775</v>
      </c>
      <c r="I261" s="787">
        <f t="shared" si="28"/>
        <v>42.6047765</v>
      </c>
      <c r="J261" s="788">
        <f t="shared" si="29"/>
        <v>85.209553</v>
      </c>
      <c r="K261" s="859"/>
      <c r="L261" s="522"/>
      <c r="M261" s="568">
        <v>0.65</v>
      </c>
      <c r="N261" s="569">
        <v>53.35</v>
      </c>
      <c r="O261" s="522"/>
      <c r="P261" s="535">
        <f t="shared" si="30"/>
        <v>85.209553</v>
      </c>
    </row>
    <row r="262" spans="1:16" ht="63.75">
      <c r="A262" s="878" t="s">
        <v>175</v>
      </c>
      <c r="B262" s="865"/>
      <c r="C262" s="795" t="s">
        <v>17</v>
      </c>
      <c r="D262" s="795" t="s">
        <v>264</v>
      </c>
      <c r="E262" s="495" t="s">
        <v>396</v>
      </c>
      <c r="F262" s="795" t="s">
        <v>19</v>
      </c>
      <c r="G262" s="787">
        <v>3.15</v>
      </c>
      <c r="H262" s="787">
        <f t="shared" si="27"/>
        <v>196.599</v>
      </c>
      <c r="I262" s="787">
        <f t="shared" si="28"/>
        <v>241.5415314</v>
      </c>
      <c r="J262" s="788">
        <f t="shared" si="29"/>
        <v>760.8558239099999</v>
      </c>
      <c r="K262" s="859"/>
      <c r="L262" s="522"/>
      <c r="M262" s="568">
        <v>0.65</v>
      </c>
      <c r="N262" s="569">
        <v>302.46</v>
      </c>
      <c r="O262" s="522"/>
      <c r="P262" s="535">
        <f t="shared" si="30"/>
        <v>760.8558239099999</v>
      </c>
    </row>
    <row r="263" spans="1:16" ht="38.25">
      <c r="A263" s="878" t="s">
        <v>176</v>
      </c>
      <c r="B263" s="865"/>
      <c r="C263" s="795" t="s">
        <v>17</v>
      </c>
      <c r="D263" s="795" t="s">
        <v>268</v>
      </c>
      <c r="E263" s="495" t="s">
        <v>267</v>
      </c>
      <c r="F263" s="795" t="s">
        <v>19</v>
      </c>
      <c r="G263" s="787">
        <v>14.91</v>
      </c>
      <c r="H263" s="787">
        <f t="shared" si="27"/>
        <v>586.9175</v>
      </c>
      <c r="I263" s="787">
        <f t="shared" si="28"/>
        <v>721.0868405</v>
      </c>
      <c r="J263" s="788">
        <f t="shared" si="29"/>
        <v>10751.404791855</v>
      </c>
      <c r="K263" s="859"/>
      <c r="L263" s="522"/>
      <c r="M263" s="568">
        <v>0.65</v>
      </c>
      <c r="N263" s="569">
        <v>902.95</v>
      </c>
      <c r="O263" s="522"/>
      <c r="P263" s="535">
        <f t="shared" si="30"/>
        <v>10751.404791855</v>
      </c>
    </row>
    <row r="264" spans="1:16" ht="25.5">
      <c r="A264" s="878" t="s">
        <v>177</v>
      </c>
      <c r="B264" s="865"/>
      <c r="C264" s="795" t="s">
        <v>17</v>
      </c>
      <c r="D264" s="795" t="s">
        <v>277</v>
      </c>
      <c r="E264" s="495" t="s">
        <v>278</v>
      </c>
      <c r="F264" s="795" t="s">
        <v>19</v>
      </c>
      <c r="G264" s="787">
        <v>3</v>
      </c>
      <c r="H264" s="787">
        <f t="shared" si="27"/>
        <v>75.65350000000001</v>
      </c>
      <c r="I264" s="787">
        <f t="shared" si="28"/>
        <v>92.94789010000001</v>
      </c>
      <c r="J264" s="788">
        <f t="shared" si="29"/>
        <v>278.84367030000004</v>
      </c>
      <c r="K264" s="859"/>
      <c r="L264" s="522"/>
      <c r="M264" s="568">
        <v>0.65</v>
      </c>
      <c r="N264" s="569">
        <v>116.39</v>
      </c>
      <c r="O264" s="522"/>
      <c r="P264" s="535">
        <f t="shared" si="30"/>
        <v>278.84367030000004</v>
      </c>
    </row>
    <row r="265" spans="1:16" s="522" customFormat="1" ht="25.5">
      <c r="A265" s="878" t="s">
        <v>180</v>
      </c>
      <c r="B265" s="865"/>
      <c r="C265" s="795" t="s">
        <v>17</v>
      </c>
      <c r="D265" s="795" t="s">
        <v>150</v>
      </c>
      <c r="E265" s="495" t="s">
        <v>397</v>
      </c>
      <c r="F265" s="795" t="s">
        <v>19</v>
      </c>
      <c r="G265" s="787">
        <v>1.5</v>
      </c>
      <c r="H265" s="787">
        <f t="shared" si="27"/>
        <v>185.36700000000002</v>
      </c>
      <c r="I265" s="787">
        <f t="shared" si="28"/>
        <v>227.7418962</v>
      </c>
      <c r="J265" s="788">
        <f t="shared" si="29"/>
        <v>341.6128443</v>
      </c>
      <c r="K265" s="859"/>
      <c r="M265" s="568">
        <v>0.65</v>
      </c>
      <c r="N265" s="569">
        <v>285.18</v>
      </c>
      <c r="P265" s="535">
        <f t="shared" si="30"/>
        <v>341.6128443</v>
      </c>
    </row>
    <row r="266" spans="1:16" ht="25.5">
      <c r="A266" s="878" t="s">
        <v>461</v>
      </c>
      <c r="B266" s="881"/>
      <c r="C266" s="795" t="s">
        <v>17</v>
      </c>
      <c r="D266" s="795" t="s">
        <v>288</v>
      </c>
      <c r="E266" s="495" t="s">
        <v>287</v>
      </c>
      <c r="F266" s="795" t="s">
        <v>19</v>
      </c>
      <c r="G266" s="787">
        <v>50</v>
      </c>
      <c r="H266" s="787">
        <f>N266*M266</f>
        <v>53.43000000000001</v>
      </c>
      <c r="I266" s="787">
        <f t="shared" si="28"/>
        <v>65.64409800000001</v>
      </c>
      <c r="J266" s="788">
        <f>I266*G266</f>
        <v>3282.2049000000006</v>
      </c>
      <c r="K266" s="859"/>
      <c r="L266" s="522"/>
      <c r="M266" s="568">
        <v>0.65</v>
      </c>
      <c r="N266" s="569">
        <v>82.2</v>
      </c>
      <c r="O266" s="522"/>
      <c r="P266" s="535">
        <f>J266</f>
        <v>3282.2049000000006</v>
      </c>
    </row>
    <row r="267" spans="1:16" ht="12.75">
      <c r="A267" s="770"/>
      <c r="B267" s="771"/>
      <c r="C267" s="773"/>
      <c r="D267" s="773"/>
      <c r="E267" s="773" t="s">
        <v>53</v>
      </c>
      <c r="F267" s="773"/>
      <c r="G267" s="851"/>
      <c r="H267" s="851"/>
      <c r="I267" s="851"/>
      <c r="J267" s="775">
        <f>SUM(J258:J266)</f>
        <v>16826.445827165</v>
      </c>
      <c r="K267" s="882">
        <f>J267+K255</f>
        <v>891715.6276684358</v>
      </c>
      <c r="L267" s="522"/>
      <c r="M267" s="568">
        <v>0.65</v>
      </c>
      <c r="N267" s="569"/>
      <c r="O267" s="522"/>
      <c r="P267" s="535"/>
    </row>
    <row r="268" spans="1:16" ht="12.75">
      <c r="A268" s="883"/>
      <c r="B268" s="881"/>
      <c r="C268" s="795"/>
      <c r="D268" s="795"/>
      <c r="E268" s="884"/>
      <c r="F268" s="795"/>
      <c r="G268" s="787"/>
      <c r="H268" s="787"/>
      <c r="I268" s="787"/>
      <c r="J268" s="788"/>
      <c r="K268" s="885"/>
      <c r="L268" s="522"/>
      <c r="M268" s="568">
        <v>0.65</v>
      </c>
      <c r="N268" s="569"/>
      <c r="O268" s="522"/>
      <c r="P268" s="535"/>
    </row>
    <row r="269" spans="1:16" ht="12.75">
      <c r="A269" s="770">
        <v>11</v>
      </c>
      <c r="B269" s="771"/>
      <c r="C269" s="772"/>
      <c r="D269" s="772"/>
      <c r="E269" s="773" t="s">
        <v>89</v>
      </c>
      <c r="F269" s="772"/>
      <c r="G269" s="774"/>
      <c r="H269" s="774"/>
      <c r="I269" s="774"/>
      <c r="J269" s="819"/>
      <c r="K269" s="820"/>
      <c r="L269" s="522"/>
      <c r="M269" s="568">
        <v>0.65</v>
      </c>
      <c r="N269" s="522"/>
      <c r="O269" s="522"/>
      <c r="P269" s="535"/>
    </row>
    <row r="270" spans="1:16" ht="12.75">
      <c r="A270" s="814" t="s">
        <v>90</v>
      </c>
      <c r="B270" s="815"/>
      <c r="C270" s="795" t="s">
        <v>17</v>
      </c>
      <c r="D270" s="795" t="s">
        <v>91</v>
      </c>
      <c r="E270" s="495" t="s">
        <v>92</v>
      </c>
      <c r="F270" s="795" t="s">
        <v>19</v>
      </c>
      <c r="G270" s="787">
        <v>1148.52</v>
      </c>
      <c r="H270" s="787">
        <f>N270*M270</f>
        <v>3.1330000000000005</v>
      </c>
      <c r="I270" s="787">
        <f>(H270*$K$10)+H270</f>
        <v>3.8492038000000006</v>
      </c>
      <c r="J270" s="788">
        <f>I270*G270</f>
        <v>4420.887548376</v>
      </c>
      <c r="K270" s="827"/>
      <c r="L270" s="522"/>
      <c r="M270" s="568">
        <v>0.65</v>
      </c>
      <c r="N270" s="569">
        <v>4.82</v>
      </c>
      <c r="O270" s="522"/>
      <c r="P270" s="535">
        <f>J270</f>
        <v>4420.887548376</v>
      </c>
    </row>
    <row r="271" spans="1:16" ht="13.5" customHeight="1">
      <c r="A271" s="770"/>
      <c r="B271" s="771"/>
      <c r="C271" s="772"/>
      <c r="D271" s="772"/>
      <c r="E271" s="773" t="s">
        <v>53</v>
      </c>
      <c r="F271" s="773"/>
      <c r="G271" s="851"/>
      <c r="H271" s="851"/>
      <c r="I271" s="851"/>
      <c r="J271" s="800">
        <f>SUM(J270)</f>
        <v>4420.887548376</v>
      </c>
      <c r="K271" s="852">
        <f>J271+K267</f>
        <v>896136.5152168118</v>
      </c>
      <c r="L271" s="522"/>
      <c r="M271" s="568">
        <v>0.65</v>
      </c>
      <c r="N271" s="522"/>
      <c r="O271" s="522"/>
      <c r="P271" s="535"/>
    </row>
    <row r="272" spans="1:16" ht="14.25" customHeight="1" thickBot="1">
      <c r="A272" s="886"/>
      <c r="B272" s="887"/>
      <c r="C272" s="887"/>
      <c r="D272" s="887"/>
      <c r="E272" s="887"/>
      <c r="F272" s="887"/>
      <c r="G272" s="887"/>
      <c r="H272" s="887"/>
      <c r="I272" s="887"/>
      <c r="J272" s="887"/>
      <c r="K272" s="888"/>
      <c r="L272" s="522"/>
      <c r="M272" s="568">
        <v>0.65</v>
      </c>
      <c r="N272" s="522"/>
      <c r="O272" s="522"/>
      <c r="P272" s="535"/>
    </row>
    <row r="273" spans="1:16" ht="12" customHeight="1">
      <c r="A273" s="889" t="s">
        <v>400</v>
      </c>
      <c r="B273" s="890"/>
      <c r="C273" s="890"/>
      <c r="D273" s="890"/>
      <c r="E273" s="890"/>
      <c r="F273" s="890"/>
      <c r="G273" s="890"/>
      <c r="H273" s="890"/>
      <c r="I273" s="891"/>
      <c r="J273" s="892">
        <f>K271</f>
        <v>896136.5152168118</v>
      </c>
      <c r="K273" s="893"/>
      <c r="L273" s="522"/>
      <c r="M273" s="568">
        <v>0.65</v>
      </c>
      <c r="N273" s="522"/>
      <c r="O273" s="522"/>
      <c r="P273" s="535"/>
    </row>
    <row r="274" spans="1:16" ht="12.75" customHeight="1" thickBot="1">
      <c r="A274" s="894"/>
      <c r="B274" s="895"/>
      <c r="C274" s="895"/>
      <c r="D274" s="895"/>
      <c r="E274" s="895"/>
      <c r="F274" s="895"/>
      <c r="G274" s="895"/>
      <c r="H274" s="895"/>
      <c r="I274" s="896"/>
      <c r="J274" s="897"/>
      <c r="K274" s="898"/>
      <c r="L274" s="522"/>
      <c r="M274" s="568">
        <v>0.65</v>
      </c>
      <c r="N274" s="522"/>
      <c r="O274" s="522"/>
      <c r="P274" s="535"/>
    </row>
    <row r="275" spans="1:15" ht="12.75" customHeight="1" thickBot="1">
      <c r="A275" s="899"/>
      <c r="B275" s="899"/>
      <c r="C275" s="899"/>
      <c r="D275" s="899"/>
      <c r="E275" s="899"/>
      <c r="F275" s="899"/>
      <c r="G275" s="899"/>
      <c r="H275" s="899"/>
      <c r="I275" s="899"/>
      <c r="J275" s="900"/>
      <c r="K275" s="900"/>
      <c r="L275" s="705"/>
      <c r="M275" s="568">
        <v>0.65</v>
      </c>
      <c r="N275" s="705"/>
      <c r="O275" s="705"/>
    </row>
    <row r="276" spans="1:16" ht="25.5" customHeight="1" thickBot="1">
      <c r="A276" s="901" t="s">
        <v>401</v>
      </c>
      <c r="B276" s="902"/>
      <c r="C276" s="902"/>
      <c r="D276" s="902"/>
      <c r="E276" s="902"/>
      <c r="F276" s="902"/>
      <c r="G276" s="902"/>
      <c r="H276" s="902"/>
      <c r="I276" s="902"/>
      <c r="J276" s="902"/>
      <c r="K276" s="903"/>
      <c r="L276" s="522"/>
      <c r="M276" s="568">
        <v>0.65</v>
      </c>
      <c r="N276" s="522"/>
      <c r="O276" s="522"/>
      <c r="P276" s="522"/>
    </row>
    <row r="277" spans="1:16" s="540" customFormat="1" ht="15" customHeight="1" thickBot="1">
      <c r="A277" s="904"/>
      <c r="B277" s="905"/>
      <c r="C277" s="905"/>
      <c r="D277" s="905"/>
      <c r="E277" s="905"/>
      <c r="F277" s="905"/>
      <c r="G277" s="905"/>
      <c r="H277" s="905"/>
      <c r="I277" s="905"/>
      <c r="J277" s="905"/>
      <c r="K277" s="906"/>
      <c r="L277" s="539"/>
      <c r="M277" s="568">
        <v>0.65</v>
      </c>
      <c r="N277" s="539"/>
      <c r="O277" s="539"/>
      <c r="P277" s="539"/>
    </row>
    <row r="278" spans="1:16" ht="25.5">
      <c r="A278" s="907" t="s">
        <v>5</v>
      </c>
      <c r="B278" s="908"/>
      <c r="C278" s="909" t="s">
        <v>6</v>
      </c>
      <c r="D278" s="909" t="s">
        <v>7</v>
      </c>
      <c r="E278" s="910" t="s">
        <v>8</v>
      </c>
      <c r="F278" s="910" t="s">
        <v>9</v>
      </c>
      <c r="G278" s="911" t="s">
        <v>10</v>
      </c>
      <c r="H278" s="911" t="s">
        <v>11</v>
      </c>
      <c r="I278" s="911" t="s">
        <v>12</v>
      </c>
      <c r="J278" s="910" t="s">
        <v>13</v>
      </c>
      <c r="K278" s="912" t="s">
        <v>14</v>
      </c>
      <c r="L278" s="522"/>
      <c r="M278" s="568">
        <v>0.65</v>
      </c>
      <c r="N278" s="522"/>
      <c r="O278" s="522"/>
      <c r="P278" s="522"/>
    </row>
    <row r="279" spans="1:16" ht="12.75">
      <c r="A279" s="913">
        <v>1</v>
      </c>
      <c r="B279" s="914"/>
      <c r="C279" s="915"/>
      <c r="D279" s="915"/>
      <c r="E279" s="916" t="s">
        <v>24</v>
      </c>
      <c r="F279" s="916"/>
      <c r="G279" s="917"/>
      <c r="H279" s="917"/>
      <c r="I279" s="917"/>
      <c r="J279" s="918"/>
      <c r="K279" s="919"/>
      <c r="L279" s="522"/>
      <c r="M279" s="568">
        <v>0.65</v>
      </c>
      <c r="N279" s="522"/>
      <c r="O279" s="522"/>
      <c r="P279" s="522"/>
    </row>
    <row r="280" spans="1:16" ht="12.75">
      <c r="A280" s="920" t="s">
        <v>16</v>
      </c>
      <c r="B280" s="921"/>
      <c r="C280" s="922"/>
      <c r="D280" s="922"/>
      <c r="E280" s="923" t="s">
        <v>39</v>
      </c>
      <c r="F280" s="923"/>
      <c r="G280" s="917"/>
      <c r="H280" s="917"/>
      <c r="I280" s="917"/>
      <c r="J280" s="924"/>
      <c r="K280" s="925"/>
      <c r="L280" s="522"/>
      <c r="M280" s="568">
        <v>0.65</v>
      </c>
      <c r="N280" s="522"/>
      <c r="O280" s="522"/>
      <c r="P280" s="522"/>
    </row>
    <row r="281" spans="1:16" ht="51">
      <c r="A281" s="926" t="s">
        <v>338</v>
      </c>
      <c r="B281" s="927"/>
      <c r="C281" s="928" t="s">
        <v>41</v>
      </c>
      <c r="D281" s="928">
        <v>92441</v>
      </c>
      <c r="E281" s="929" t="s">
        <v>42</v>
      </c>
      <c r="F281" s="928" t="s">
        <v>19</v>
      </c>
      <c r="G281" s="930">
        <v>104.2</v>
      </c>
      <c r="H281" s="930">
        <f>N281*M281</f>
        <v>30.283500000000004</v>
      </c>
      <c r="I281" s="930">
        <f>(H281*$K$10)+H281</f>
        <v>37.2063081</v>
      </c>
      <c r="J281" s="931">
        <f aca="true" t="shared" si="31" ref="J281:J288">I281*G281</f>
        <v>3876.8973040200003</v>
      </c>
      <c r="K281" s="932"/>
      <c r="L281" s="522"/>
      <c r="M281" s="568">
        <v>0.65</v>
      </c>
      <c r="N281" s="569">
        <v>46.59</v>
      </c>
      <c r="O281" s="522"/>
      <c r="P281" s="522"/>
    </row>
    <row r="282" spans="1:16" ht="25.5">
      <c r="A282" s="926" t="s">
        <v>339</v>
      </c>
      <c r="B282" s="927"/>
      <c r="C282" s="928" t="s">
        <v>17</v>
      </c>
      <c r="D282" s="928" t="s">
        <v>32</v>
      </c>
      <c r="E282" s="933" t="s">
        <v>33</v>
      </c>
      <c r="F282" s="928" t="s">
        <v>34</v>
      </c>
      <c r="G282" s="930">
        <v>952.7</v>
      </c>
      <c r="H282" s="930">
        <f>N282*M282</f>
        <v>8.424000000000001</v>
      </c>
      <c r="I282" s="930">
        <f>(H282*$K$10)+H282</f>
        <v>10.349726400000002</v>
      </c>
      <c r="J282" s="931">
        <f t="shared" si="31"/>
        <v>9860.184341280003</v>
      </c>
      <c r="K282" s="932"/>
      <c r="L282" s="522"/>
      <c r="M282" s="568">
        <v>0.65</v>
      </c>
      <c r="N282" s="569">
        <v>12.96</v>
      </c>
      <c r="O282" s="522"/>
      <c r="P282" s="522"/>
    </row>
    <row r="283" spans="1:16" ht="38.25">
      <c r="A283" s="926" t="s">
        <v>340</v>
      </c>
      <c r="B283" s="934"/>
      <c r="C283" s="935" t="s">
        <v>17</v>
      </c>
      <c r="D283" s="935" t="s">
        <v>45</v>
      </c>
      <c r="E283" s="929" t="s">
        <v>37</v>
      </c>
      <c r="F283" s="928" t="s">
        <v>30</v>
      </c>
      <c r="G283" s="930">
        <v>8</v>
      </c>
      <c r="H283" s="930">
        <f>N283*M283</f>
        <v>279.461</v>
      </c>
      <c r="I283" s="930">
        <f>(H283*$K$10)+H283</f>
        <v>343.3457846</v>
      </c>
      <c r="J283" s="931">
        <f t="shared" si="31"/>
        <v>2746.7662768</v>
      </c>
      <c r="K283" s="936"/>
      <c r="L283" s="522"/>
      <c r="M283" s="568">
        <v>0.65</v>
      </c>
      <c r="N283" s="569">
        <v>429.94</v>
      </c>
      <c r="O283" s="522"/>
      <c r="P283" s="522"/>
    </row>
    <row r="284" spans="1:16" ht="12.75">
      <c r="A284" s="926"/>
      <c r="B284" s="934"/>
      <c r="C284" s="935"/>
      <c r="D284" s="935"/>
      <c r="E284" s="929"/>
      <c r="F284" s="928"/>
      <c r="G284" s="930"/>
      <c r="H284" s="930"/>
      <c r="I284" s="930"/>
      <c r="J284" s="931"/>
      <c r="K284" s="936"/>
      <c r="L284" s="522"/>
      <c r="M284" s="568">
        <v>0.65</v>
      </c>
      <c r="N284" s="569"/>
      <c r="O284" s="522"/>
      <c r="P284" s="522"/>
    </row>
    <row r="285" spans="1:16" ht="12.75">
      <c r="A285" s="920" t="s">
        <v>20</v>
      </c>
      <c r="B285" s="921"/>
      <c r="C285" s="922"/>
      <c r="D285" s="922"/>
      <c r="E285" s="923" t="s">
        <v>47</v>
      </c>
      <c r="F285" s="923"/>
      <c r="G285" s="917"/>
      <c r="H285" s="917"/>
      <c r="I285" s="917"/>
      <c r="J285" s="924"/>
      <c r="K285" s="925"/>
      <c r="L285" s="522"/>
      <c r="M285" s="568">
        <v>0.65</v>
      </c>
      <c r="N285" s="522"/>
      <c r="O285" s="522"/>
      <c r="P285" s="522"/>
    </row>
    <row r="286" spans="1:16" ht="51">
      <c r="A286" s="926" t="s">
        <v>341</v>
      </c>
      <c r="B286" s="927"/>
      <c r="C286" s="928" t="s">
        <v>41</v>
      </c>
      <c r="D286" s="928">
        <v>92453</v>
      </c>
      <c r="E286" s="929" t="s">
        <v>49</v>
      </c>
      <c r="F286" s="928" t="s">
        <v>19</v>
      </c>
      <c r="G286" s="930">
        <v>238</v>
      </c>
      <c r="H286" s="930">
        <f>N286*M286</f>
        <v>117.68900000000001</v>
      </c>
      <c r="I286" s="930">
        <f>(H286*$K$10)+H286</f>
        <v>144.5927054</v>
      </c>
      <c r="J286" s="931">
        <f t="shared" si="31"/>
        <v>34413.0638852</v>
      </c>
      <c r="K286" s="932"/>
      <c r="L286" s="522"/>
      <c r="M286" s="568">
        <v>0.65</v>
      </c>
      <c r="N286" s="569">
        <v>181.06</v>
      </c>
      <c r="O286" s="522"/>
      <c r="P286" s="522"/>
    </row>
    <row r="287" spans="1:16" s="612" customFormat="1" ht="25.5">
      <c r="A287" s="926" t="s">
        <v>342</v>
      </c>
      <c r="B287" s="927"/>
      <c r="C287" s="935" t="s">
        <v>17</v>
      </c>
      <c r="D287" s="928" t="s">
        <v>32</v>
      </c>
      <c r="E287" s="933" t="s">
        <v>33</v>
      </c>
      <c r="F287" s="928" t="s">
        <v>34</v>
      </c>
      <c r="G287" s="930">
        <v>1183</v>
      </c>
      <c r="H287" s="930">
        <f>N287*M287</f>
        <v>8.424000000000001</v>
      </c>
      <c r="I287" s="930">
        <f>(H287*$K$10)+H287</f>
        <v>10.349726400000002</v>
      </c>
      <c r="J287" s="931">
        <f t="shared" si="31"/>
        <v>12243.726331200001</v>
      </c>
      <c r="K287" s="932"/>
      <c r="L287" s="522"/>
      <c r="M287" s="568">
        <v>0.65</v>
      </c>
      <c r="N287" s="569">
        <v>12.96</v>
      </c>
      <c r="O287" s="522"/>
      <c r="P287" s="522"/>
    </row>
    <row r="288" spans="1:16" ht="38.25">
      <c r="A288" s="926" t="s">
        <v>343</v>
      </c>
      <c r="B288" s="934"/>
      <c r="C288" s="935" t="s">
        <v>17</v>
      </c>
      <c r="D288" s="935" t="s">
        <v>45</v>
      </c>
      <c r="E288" s="929" t="s">
        <v>37</v>
      </c>
      <c r="F288" s="928" t="s">
        <v>30</v>
      </c>
      <c r="G288" s="930">
        <v>18.5</v>
      </c>
      <c r="H288" s="930">
        <f>N288*M288</f>
        <v>279.461</v>
      </c>
      <c r="I288" s="930">
        <f>(H288*$K$10)+H288</f>
        <v>343.3457846</v>
      </c>
      <c r="J288" s="931">
        <f t="shared" si="31"/>
        <v>6351.8970151</v>
      </c>
      <c r="K288" s="936"/>
      <c r="L288" s="522"/>
      <c r="M288" s="568">
        <v>0.65</v>
      </c>
      <c r="N288" s="569">
        <v>429.94</v>
      </c>
      <c r="O288" s="522"/>
      <c r="P288" s="522"/>
    </row>
    <row r="289" spans="1:16" ht="12.75">
      <c r="A289" s="926"/>
      <c r="B289" s="934"/>
      <c r="C289" s="935"/>
      <c r="D289" s="935"/>
      <c r="E289" s="929"/>
      <c r="F289" s="928"/>
      <c r="G289" s="930"/>
      <c r="H289" s="930"/>
      <c r="I289" s="930"/>
      <c r="J289" s="931"/>
      <c r="K289" s="936"/>
      <c r="L289" s="522"/>
      <c r="M289" s="568">
        <v>0.65</v>
      </c>
      <c r="N289" s="569"/>
      <c r="O289" s="522"/>
      <c r="P289" s="522"/>
    </row>
    <row r="290" spans="1:13" s="944" customFormat="1" ht="12.75">
      <c r="A290" s="937"/>
      <c r="B290" s="938"/>
      <c r="C290" s="939"/>
      <c r="D290" s="939"/>
      <c r="E290" s="940" t="s">
        <v>23</v>
      </c>
      <c r="F290" s="941"/>
      <c r="G290" s="917"/>
      <c r="H290" s="917"/>
      <c r="I290" s="917"/>
      <c r="J290" s="942">
        <f>SUM(J281:J289)</f>
        <v>69492.5351536</v>
      </c>
      <c r="K290" s="943">
        <f>J290</f>
        <v>69492.5351536</v>
      </c>
      <c r="M290" s="568">
        <v>0.65</v>
      </c>
    </row>
    <row r="291" spans="1:16" ht="12.75" customHeight="1">
      <c r="A291" s="945"/>
      <c r="B291" s="946"/>
      <c r="C291" s="946"/>
      <c r="D291" s="946"/>
      <c r="E291" s="946"/>
      <c r="F291" s="946"/>
      <c r="G291" s="946"/>
      <c r="H291" s="946"/>
      <c r="I291" s="930"/>
      <c r="J291" s="946"/>
      <c r="K291" s="947"/>
      <c r="L291" s="522"/>
      <c r="M291" s="568">
        <v>0.65</v>
      </c>
      <c r="N291" s="522"/>
      <c r="O291" s="522"/>
      <c r="P291" s="522"/>
    </row>
    <row r="292" spans="1:16" ht="12.75">
      <c r="A292" s="913" t="s">
        <v>192</v>
      </c>
      <c r="B292" s="948"/>
      <c r="C292" s="915"/>
      <c r="D292" s="915"/>
      <c r="E292" s="916" t="s">
        <v>147</v>
      </c>
      <c r="F292" s="915"/>
      <c r="G292" s="917"/>
      <c r="H292" s="917"/>
      <c r="I292" s="917"/>
      <c r="J292" s="924"/>
      <c r="K292" s="943"/>
      <c r="L292" s="522"/>
      <c r="M292" s="568">
        <v>0.65</v>
      </c>
      <c r="N292" s="569"/>
      <c r="O292" s="522"/>
      <c r="P292" s="522"/>
    </row>
    <row r="293" spans="1:16" ht="54" customHeight="1">
      <c r="A293" s="949" t="s">
        <v>402</v>
      </c>
      <c r="B293" s="950"/>
      <c r="C293" s="951" t="s">
        <v>17</v>
      </c>
      <c r="D293" s="952" t="s">
        <v>290</v>
      </c>
      <c r="E293" s="953" t="s">
        <v>289</v>
      </c>
      <c r="F293" s="951" t="s">
        <v>218</v>
      </c>
      <c r="G293" s="930">
        <v>378.26</v>
      </c>
      <c r="H293" s="930">
        <v>204.48</v>
      </c>
      <c r="I293" s="930">
        <f>(H293*$K$10)+H293</f>
        <v>251.22412799999998</v>
      </c>
      <c r="J293" s="931">
        <f>I293*G293</f>
        <v>95028.03865727999</v>
      </c>
      <c r="K293" s="954"/>
      <c r="L293" s="522"/>
      <c r="M293" s="568">
        <v>0.65</v>
      </c>
      <c r="N293" s="569">
        <v>38.52</v>
      </c>
      <c r="O293" s="522"/>
      <c r="P293" s="522"/>
    </row>
    <row r="294" spans="1:13" s="944" customFormat="1" ht="12.75">
      <c r="A294" s="955"/>
      <c r="B294" s="948"/>
      <c r="C294" s="915"/>
      <c r="D294" s="915"/>
      <c r="E294" s="916" t="s">
        <v>53</v>
      </c>
      <c r="F294" s="915"/>
      <c r="G294" s="917"/>
      <c r="H294" s="917"/>
      <c r="I294" s="917"/>
      <c r="J294" s="942">
        <f>SUM(J293:J293)</f>
        <v>95028.03865727999</v>
      </c>
      <c r="K294" s="943">
        <f>K290+J294</f>
        <v>164520.57381087999</v>
      </c>
      <c r="M294" s="568">
        <v>0.65</v>
      </c>
    </row>
    <row r="295" spans="1:16" ht="12.75">
      <c r="A295" s="949"/>
      <c r="B295" s="956"/>
      <c r="C295" s="957"/>
      <c r="D295" s="957"/>
      <c r="E295" s="958"/>
      <c r="F295" s="957"/>
      <c r="G295" s="930"/>
      <c r="H295" s="930"/>
      <c r="I295" s="930"/>
      <c r="J295" s="959"/>
      <c r="K295" s="960"/>
      <c r="L295" s="522"/>
      <c r="M295" s="568">
        <v>0.65</v>
      </c>
      <c r="N295" s="522"/>
      <c r="O295" s="522"/>
      <c r="P295" s="522"/>
    </row>
    <row r="296" spans="1:16" ht="12.75">
      <c r="A296" s="913">
        <v>2</v>
      </c>
      <c r="B296" s="914"/>
      <c r="C296" s="915"/>
      <c r="D296" s="915"/>
      <c r="E296" s="916" t="s">
        <v>215</v>
      </c>
      <c r="F296" s="915"/>
      <c r="G296" s="917"/>
      <c r="H296" s="917"/>
      <c r="I296" s="917"/>
      <c r="J296" s="961"/>
      <c r="K296" s="962"/>
      <c r="L296" s="522"/>
      <c r="M296" s="568">
        <v>0.65</v>
      </c>
      <c r="N296" s="522"/>
      <c r="O296" s="522"/>
      <c r="P296" s="522"/>
    </row>
    <row r="297" spans="1:16" s="641" customFormat="1" ht="12.75">
      <c r="A297" s="949" t="s">
        <v>25</v>
      </c>
      <c r="B297" s="956"/>
      <c r="C297" s="957" t="s">
        <v>17</v>
      </c>
      <c r="D297" s="957" t="s">
        <v>216</v>
      </c>
      <c r="E297" s="963" t="s">
        <v>217</v>
      </c>
      <c r="F297" s="928" t="s">
        <v>218</v>
      </c>
      <c r="G297" s="930">
        <v>374.5</v>
      </c>
      <c r="H297" s="930">
        <f>N297*M297</f>
        <v>28.4765</v>
      </c>
      <c r="I297" s="930">
        <f>(H297*$K$10)+H297</f>
        <v>34.9862279</v>
      </c>
      <c r="J297" s="964">
        <f>I297*G297</f>
        <v>13102.34234855</v>
      </c>
      <c r="K297" s="932"/>
      <c r="L297" s="639"/>
      <c r="M297" s="568">
        <v>0.65</v>
      </c>
      <c r="N297" s="640">
        <v>43.81</v>
      </c>
      <c r="O297" s="639"/>
      <c r="P297" s="639"/>
    </row>
    <row r="298" spans="1:16" s="641" customFormat="1" ht="25.5">
      <c r="A298" s="949" t="s">
        <v>38</v>
      </c>
      <c r="B298" s="956"/>
      <c r="C298" s="957" t="s">
        <v>17</v>
      </c>
      <c r="D298" s="957" t="s">
        <v>403</v>
      </c>
      <c r="E298" s="963" t="s">
        <v>262</v>
      </c>
      <c r="F298" s="957" t="s">
        <v>19</v>
      </c>
      <c r="G298" s="930">
        <v>374.5</v>
      </c>
      <c r="H298" s="930">
        <f>N298*M298</f>
        <v>7.852</v>
      </c>
      <c r="I298" s="930">
        <f>(H298*$K$10)+H298</f>
        <v>9.6469672</v>
      </c>
      <c r="J298" s="964">
        <f>I298*G298</f>
        <v>3612.7892164000004</v>
      </c>
      <c r="K298" s="932"/>
      <c r="L298" s="639"/>
      <c r="M298" s="568">
        <v>0.65</v>
      </c>
      <c r="N298" s="640">
        <v>12.08</v>
      </c>
      <c r="O298" s="639"/>
      <c r="P298" s="639"/>
    </row>
    <row r="299" spans="1:16" s="641" customFormat="1" ht="38.25">
      <c r="A299" s="949" t="s">
        <v>46</v>
      </c>
      <c r="B299" s="956"/>
      <c r="C299" s="957" t="s">
        <v>17</v>
      </c>
      <c r="D299" s="957" t="s">
        <v>224</v>
      </c>
      <c r="E299" s="963" t="s">
        <v>292</v>
      </c>
      <c r="F299" s="928" t="s">
        <v>218</v>
      </c>
      <c r="G299" s="930">
        <v>374.5</v>
      </c>
      <c r="H299" s="930">
        <f>N299*M299</f>
        <v>8.307</v>
      </c>
      <c r="I299" s="930">
        <f>(H299*$K$10)+H299</f>
        <v>10.2059802</v>
      </c>
      <c r="J299" s="964">
        <f>I299*G299</f>
        <v>3822.1395849000005</v>
      </c>
      <c r="K299" s="932"/>
      <c r="L299" s="639"/>
      <c r="M299" s="568">
        <v>0.65</v>
      </c>
      <c r="N299" s="640">
        <v>12.78</v>
      </c>
      <c r="O299" s="639"/>
      <c r="P299" s="639"/>
    </row>
    <row r="300" spans="1:13" s="944" customFormat="1" ht="12.75">
      <c r="A300" s="955"/>
      <c r="B300" s="948"/>
      <c r="C300" s="915"/>
      <c r="D300" s="915"/>
      <c r="E300" s="916" t="s">
        <v>53</v>
      </c>
      <c r="F300" s="915"/>
      <c r="G300" s="917"/>
      <c r="H300" s="917"/>
      <c r="I300" s="917"/>
      <c r="J300" s="942">
        <f>SUM(J297:J299)</f>
        <v>20537.271149850003</v>
      </c>
      <c r="K300" s="943">
        <f>K294+J300</f>
        <v>185057.84496073</v>
      </c>
      <c r="M300" s="568">
        <v>0.65</v>
      </c>
    </row>
    <row r="301" spans="1:16" ht="12.75">
      <c r="A301" s="965"/>
      <c r="B301" s="966"/>
      <c r="C301" s="966"/>
      <c r="D301" s="966"/>
      <c r="E301" s="966"/>
      <c r="F301" s="966"/>
      <c r="G301" s="966"/>
      <c r="H301" s="966"/>
      <c r="I301" s="930"/>
      <c r="J301" s="966"/>
      <c r="K301" s="967"/>
      <c r="L301" s="522"/>
      <c r="M301" s="568">
        <v>0.65</v>
      </c>
      <c r="N301" s="522"/>
      <c r="O301" s="522"/>
      <c r="P301" s="522"/>
    </row>
    <row r="302" spans="1:16" ht="12.75">
      <c r="A302" s="913">
        <v>3</v>
      </c>
      <c r="B302" s="914"/>
      <c r="C302" s="915"/>
      <c r="D302" s="915"/>
      <c r="E302" s="916" t="s">
        <v>61</v>
      </c>
      <c r="F302" s="915"/>
      <c r="G302" s="917"/>
      <c r="H302" s="917"/>
      <c r="I302" s="917"/>
      <c r="J302" s="961"/>
      <c r="K302" s="962"/>
      <c r="L302" s="522"/>
      <c r="M302" s="568">
        <v>0.65</v>
      </c>
      <c r="N302" s="522"/>
      <c r="O302" s="522"/>
      <c r="P302" s="522"/>
    </row>
    <row r="303" spans="1:16" ht="38.25">
      <c r="A303" s="949" t="s">
        <v>52</v>
      </c>
      <c r="B303" s="956"/>
      <c r="C303" s="957" t="s">
        <v>17</v>
      </c>
      <c r="D303" s="957" t="s">
        <v>63</v>
      </c>
      <c r="E303" s="963" t="s">
        <v>64</v>
      </c>
      <c r="F303" s="957" t="s">
        <v>19</v>
      </c>
      <c r="G303" s="952">
        <v>256.18</v>
      </c>
      <c r="H303" s="930">
        <f>N303*M303</f>
        <v>32.5715</v>
      </c>
      <c r="I303" s="930">
        <f>(H303*$K$10)+H303</f>
        <v>40.0173449</v>
      </c>
      <c r="J303" s="931">
        <f>I303*G303</f>
        <v>10251.643416482</v>
      </c>
      <c r="K303" s="968"/>
      <c r="L303" s="522"/>
      <c r="M303" s="568">
        <v>0.65</v>
      </c>
      <c r="N303" s="569">
        <v>50.11</v>
      </c>
      <c r="O303" s="522"/>
      <c r="P303" s="522"/>
    </row>
    <row r="304" spans="1:16" ht="57" customHeight="1">
      <c r="A304" s="949" t="s">
        <v>213</v>
      </c>
      <c r="B304" s="956"/>
      <c r="C304" s="957" t="s">
        <v>17</v>
      </c>
      <c r="D304" s="952" t="s">
        <v>229</v>
      </c>
      <c r="E304" s="969" t="s">
        <v>230</v>
      </c>
      <c r="F304" s="957" t="s">
        <v>19</v>
      </c>
      <c r="G304" s="952">
        <v>81.03</v>
      </c>
      <c r="H304" s="930">
        <f>N304*M304</f>
        <v>57.603</v>
      </c>
      <c r="I304" s="930">
        <f>(H304*$K$10)+H304</f>
        <v>70.7710458</v>
      </c>
      <c r="J304" s="931">
        <f>I304*G304</f>
        <v>5734.577841173999</v>
      </c>
      <c r="K304" s="968"/>
      <c r="L304" s="522"/>
      <c r="M304" s="568">
        <v>0.65</v>
      </c>
      <c r="N304" s="569">
        <v>88.62</v>
      </c>
      <c r="O304" s="522"/>
      <c r="P304" s="522"/>
    </row>
    <row r="305" spans="1:16" ht="54.75" customHeight="1">
      <c r="A305" s="949" t="s">
        <v>327</v>
      </c>
      <c r="B305" s="956"/>
      <c r="C305" s="957" t="s">
        <v>17</v>
      </c>
      <c r="D305" s="970" t="s">
        <v>231</v>
      </c>
      <c r="E305" s="971" t="s">
        <v>232</v>
      </c>
      <c r="F305" s="957" t="s">
        <v>19</v>
      </c>
      <c r="G305" s="952">
        <v>160.61</v>
      </c>
      <c r="H305" s="930">
        <f>N305*M305</f>
        <v>51.3305</v>
      </c>
      <c r="I305" s="930">
        <f>(H305*$K$10)+H305</f>
        <v>63.0646523</v>
      </c>
      <c r="J305" s="931">
        <f>I305*G305</f>
        <v>10128.813805903</v>
      </c>
      <c r="K305" s="968"/>
      <c r="L305" s="522"/>
      <c r="M305" s="568">
        <v>0.65</v>
      </c>
      <c r="N305" s="569">
        <v>78.97</v>
      </c>
      <c r="O305" s="522"/>
      <c r="P305" s="522"/>
    </row>
    <row r="306" spans="1:16" ht="54.75" customHeight="1">
      <c r="A306" s="949" t="s">
        <v>487</v>
      </c>
      <c r="B306" s="956"/>
      <c r="C306" s="972" t="s">
        <v>17</v>
      </c>
      <c r="D306" s="972" t="s">
        <v>228</v>
      </c>
      <c r="E306" s="973" t="s">
        <v>227</v>
      </c>
      <c r="F306" s="972" t="s">
        <v>19</v>
      </c>
      <c r="G306" s="974">
        <v>22.32</v>
      </c>
      <c r="H306" s="975">
        <f>N306*M306</f>
        <v>39.2405</v>
      </c>
      <c r="I306" s="930">
        <f>(H306*$K$10)+H306</f>
        <v>48.2108783</v>
      </c>
      <c r="J306" s="931">
        <f>I306*G306</f>
        <v>1076.066803656</v>
      </c>
      <c r="K306" s="968"/>
      <c r="L306" s="522"/>
      <c r="M306" s="568">
        <v>0.65</v>
      </c>
      <c r="N306" s="835">
        <v>60.37</v>
      </c>
      <c r="O306" s="522"/>
      <c r="P306" s="522"/>
    </row>
    <row r="307" spans="1:16" ht="54.75" customHeight="1">
      <c r="A307" s="949" t="s">
        <v>488</v>
      </c>
      <c r="B307" s="956"/>
      <c r="C307" s="976" t="s">
        <v>17</v>
      </c>
      <c r="D307" s="976" t="s">
        <v>229</v>
      </c>
      <c r="E307" s="977" t="s">
        <v>353</v>
      </c>
      <c r="F307" s="976" t="s">
        <v>19</v>
      </c>
      <c r="G307" s="978">
        <v>36.36</v>
      </c>
      <c r="H307" s="975">
        <f>N307*M307</f>
        <v>63.88850000000001</v>
      </c>
      <c r="I307" s="930">
        <f>(H307*$K$10)+H307</f>
        <v>78.4934111</v>
      </c>
      <c r="J307" s="931">
        <f>I307*G307</f>
        <v>2854.020427596</v>
      </c>
      <c r="K307" s="968"/>
      <c r="L307" s="522"/>
      <c r="M307" s="568">
        <v>0.65</v>
      </c>
      <c r="N307" s="835">
        <v>98.29</v>
      </c>
      <c r="O307" s="522"/>
      <c r="P307" s="522"/>
    </row>
    <row r="308" spans="1:13" s="944" customFormat="1" ht="12.75">
      <c r="A308" s="955"/>
      <c r="B308" s="948"/>
      <c r="C308" s="915"/>
      <c r="D308" s="915"/>
      <c r="E308" s="916" t="s">
        <v>53</v>
      </c>
      <c r="F308" s="915"/>
      <c r="G308" s="917"/>
      <c r="H308" s="917"/>
      <c r="I308" s="917"/>
      <c r="J308" s="942">
        <f>SUM(J303:J305,J306:J307)</f>
        <v>30045.122294811</v>
      </c>
      <c r="K308" s="943">
        <f>K300+J308</f>
        <v>215102.967255541</v>
      </c>
      <c r="M308" s="568">
        <v>0.65</v>
      </c>
    </row>
    <row r="309" spans="1:16" ht="12.75" customHeight="1">
      <c r="A309" s="979"/>
      <c r="B309" s="980"/>
      <c r="C309" s="981"/>
      <c r="D309" s="981"/>
      <c r="E309" s="981"/>
      <c r="F309" s="981"/>
      <c r="G309" s="930"/>
      <c r="H309" s="930"/>
      <c r="I309" s="930"/>
      <c r="J309" s="981"/>
      <c r="K309" s="982"/>
      <c r="L309" s="522"/>
      <c r="M309" s="568">
        <v>0.65</v>
      </c>
      <c r="N309" s="522"/>
      <c r="O309" s="522"/>
      <c r="P309" s="522"/>
    </row>
    <row r="310" spans="1:16" ht="12.75">
      <c r="A310" s="913">
        <v>4</v>
      </c>
      <c r="B310" s="914"/>
      <c r="C310" s="915"/>
      <c r="D310" s="915"/>
      <c r="E310" s="916" t="s">
        <v>67</v>
      </c>
      <c r="F310" s="915"/>
      <c r="G310" s="917"/>
      <c r="H310" s="917"/>
      <c r="I310" s="917"/>
      <c r="J310" s="961"/>
      <c r="K310" s="962"/>
      <c r="L310" s="522"/>
      <c r="M310" s="568">
        <v>0.65</v>
      </c>
      <c r="N310" s="522"/>
      <c r="O310" s="522"/>
      <c r="P310" s="522"/>
    </row>
    <row r="311" spans="1:16" ht="38.25">
      <c r="A311" s="949" t="s">
        <v>54</v>
      </c>
      <c r="B311" s="956" t="s">
        <v>69</v>
      </c>
      <c r="C311" s="957" t="s">
        <v>17</v>
      </c>
      <c r="D311" s="935" t="s">
        <v>70</v>
      </c>
      <c r="E311" s="983" t="s">
        <v>71</v>
      </c>
      <c r="F311" s="957" t="s">
        <v>19</v>
      </c>
      <c r="G311" s="952">
        <v>1113.02</v>
      </c>
      <c r="H311" s="930">
        <f aca="true" t="shared" si="32" ref="H311:H323">N311*M311</f>
        <v>6.272500000000001</v>
      </c>
      <c r="I311" s="930">
        <f aca="true" t="shared" si="33" ref="I311:I317">(H311*$K$10)+H311</f>
        <v>7.706393500000001</v>
      </c>
      <c r="J311" s="931">
        <f>I311*G311</f>
        <v>8577.37009337</v>
      </c>
      <c r="K311" s="968"/>
      <c r="L311" s="522"/>
      <c r="M311" s="568">
        <v>0.65</v>
      </c>
      <c r="N311" s="569">
        <v>9.65</v>
      </c>
      <c r="O311" s="522"/>
      <c r="P311" s="522"/>
    </row>
    <row r="312" spans="1:16" s="660" customFormat="1" ht="38.25">
      <c r="A312" s="949" t="s">
        <v>148</v>
      </c>
      <c r="B312" s="956" t="s">
        <v>69</v>
      </c>
      <c r="C312" s="957" t="s">
        <v>17</v>
      </c>
      <c r="D312" s="957" t="s">
        <v>73</v>
      </c>
      <c r="E312" s="963" t="s">
        <v>74</v>
      </c>
      <c r="F312" s="957" t="s">
        <v>19</v>
      </c>
      <c r="G312" s="952">
        <v>924.39</v>
      </c>
      <c r="H312" s="930">
        <f t="shared" si="32"/>
        <v>15.580499999999999</v>
      </c>
      <c r="I312" s="930">
        <f t="shared" si="33"/>
        <v>19.142202299999997</v>
      </c>
      <c r="J312" s="931">
        <f>I312*G312</f>
        <v>17694.860384097</v>
      </c>
      <c r="K312" s="968"/>
      <c r="L312" s="659"/>
      <c r="M312" s="568">
        <v>0.65</v>
      </c>
      <c r="N312" s="569">
        <v>23.97</v>
      </c>
      <c r="O312" s="659"/>
      <c r="P312" s="659"/>
    </row>
    <row r="313" spans="1:16" s="660" customFormat="1" ht="29.25" customHeight="1">
      <c r="A313" s="949" t="s">
        <v>149</v>
      </c>
      <c r="B313" s="956"/>
      <c r="C313" s="957" t="s">
        <v>17</v>
      </c>
      <c r="D313" s="984" t="s">
        <v>152</v>
      </c>
      <c r="E313" s="971" t="s">
        <v>153</v>
      </c>
      <c r="F313" s="957" t="s">
        <v>19</v>
      </c>
      <c r="G313" s="952">
        <v>188.64</v>
      </c>
      <c r="H313" s="930">
        <f t="shared" si="32"/>
        <v>15.223</v>
      </c>
      <c r="I313" s="930">
        <f t="shared" si="33"/>
        <v>18.7029778</v>
      </c>
      <c r="J313" s="931">
        <f>I313*G313</f>
        <v>3528.1297321919997</v>
      </c>
      <c r="K313" s="968"/>
      <c r="L313" s="659"/>
      <c r="M313" s="568">
        <v>0.65</v>
      </c>
      <c r="N313" s="569">
        <v>23.42</v>
      </c>
      <c r="O313" s="659"/>
      <c r="P313" s="659"/>
    </row>
    <row r="314" spans="1:16" s="660" customFormat="1" ht="38.25">
      <c r="A314" s="949" t="s">
        <v>151</v>
      </c>
      <c r="B314" s="956"/>
      <c r="C314" s="957" t="s">
        <v>17</v>
      </c>
      <c r="D314" s="985" t="s">
        <v>157</v>
      </c>
      <c r="E314" s="953" t="s">
        <v>251</v>
      </c>
      <c r="F314" s="957" t="s">
        <v>19</v>
      </c>
      <c r="G314" s="952">
        <v>188.64</v>
      </c>
      <c r="H314" s="930">
        <f t="shared" si="32"/>
        <v>33.1435</v>
      </c>
      <c r="I314" s="930">
        <f t="shared" si="33"/>
        <v>40.7201041</v>
      </c>
      <c r="J314" s="931">
        <v>45041.390802320006</v>
      </c>
      <c r="K314" s="968"/>
      <c r="L314" s="659"/>
      <c r="M314" s="568">
        <v>0.65</v>
      </c>
      <c r="N314" s="569">
        <v>50.99</v>
      </c>
      <c r="O314" s="659"/>
      <c r="P314" s="659"/>
    </row>
    <row r="315" spans="1:16" s="660" customFormat="1" ht="63.75">
      <c r="A315" s="949" t="s">
        <v>354</v>
      </c>
      <c r="B315" s="956"/>
      <c r="C315" s="957" t="s">
        <v>17</v>
      </c>
      <c r="D315" s="985" t="s">
        <v>252</v>
      </c>
      <c r="E315" s="986" t="s">
        <v>253</v>
      </c>
      <c r="F315" s="957" t="s">
        <v>19</v>
      </c>
      <c r="G315" s="930">
        <v>368.26</v>
      </c>
      <c r="H315" s="930">
        <f t="shared" si="32"/>
        <v>48.4055</v>
      </c>
      <c r="I315" s="930">
        <f t="shared" si="33"/>
        <v>59.47099730000001</v>
      </c>
      <c r="J315" s="931">
        <v>69074.73338220001</v>
      </c>
      <c r="K315" s="968"/>
      <c r="L315" s="659"/>
      <c r="M315" s="568">
        <v>0.65</v>
      </c>
      <c r="N315" s="569">
        <v>74.47</v>
      </c>
      <c r="O315" s="659"/>
      <c r="P315" s="659"/>
    </row>
    <row r="316" spans="1:14" s="665" customFormat="1" ht="38.25">
      <c r="A316" s="949" t="s">
        <v>404</v>
      </c>
      <c r="B316" s="956"/>
      <c r="C316" s="957" t="s">
        <v>17</v>
      </c>
      <c r="D316" s="957" t="s">
        <v>219</v>
      </c>
      <c r="E316" s="963" t="s">
        <v>220</v>
      </c>
      <c r="F316" s="957" t="s">
        <v>19</v>
      </c>
      <c r="G316" s="952">
        <v>23.4</v>
      </c>
      <c r="H316" s="930">
        <f t="shared" si="32"/>
        <v>10.913499999999999</v>
      </c>
      <c r="I316" s="930">
        <f t="shared" si="33"/>
        <v>13.408326099999998</v>
      </c>
      <c r="J316" s="931">
        <f>I316*G316</f>
        <v>313.75483073999993</v>
      </c>
      <c r="K316" s="968"/>
      <c r="M316" s="568">
        <v>0.65</v>
      </c>
      <c r="N316" s="666">
        <v>16.79</v>
      </c>
    </row>
    <row r="317" spans="1:14" s="665" customFormat="1" ht="25.5">
      <c r="A317" s="949" t="s">
        <v>405</v>
      </c>
      <c r="B317" s="956"/>
      <c r="C317" s="957" t="s">
        <v>17</v>
      </c>
      <c r="D317" s="957" t="s">
        <v>222</v>
      </c>
      <c r="E317" s="963" t="s">
        <v>223</v>
      </c>
      <c r="F317" s="957" t="s">
        <v>19</v>
      </c>
      <c r="G317" s="952">
        <v>23.4</v>
      </c>
      <c r="H317" s="930">
        <f t="shared" si="32"/>
        <v>5.447000000000001</v>
      </c>
      <c r="I317" s="930">
        <f t="shared" si="33"/>
        <v>6.692184200000002</v>
      </c>
      <c r="J317" s="931">
        <f>I317*G317</f>
        <v>156.59711028000004</v>
      </c>
      <c r="K317" s="968"/>
      <c r="M317" s="568">
        <v>0.65</v>
      </c>
      <c r="N317" s="666">
        <v>8.38</v>
      </c>
    </row>
    <row r="318" spans="1:13" s="944" customFormat="1" ht="12.75">
      <c r="A318" s="913"/>
      <c r="B318" s="914"/>
      <c r="C318" s="915"/>
      <c r="D318" s="915"/>
      <c r="E318" s="916" t="s">
        <v>53</v>
      </c>
      <c r="F318" s="916"/>
      <c r="G318" s="917"/>
      <c r="H318" s="917"/>
      <c r="I318" s="917"/>
      <c r="J318" s="942">
        <f>SUM(J311:J317)</f>
        <v>144386.83633519904</v>
      </c>
      <c r="K318" s="943">
        <f>K308+J318</f>
        <v>359489.8035907401</v>
      </c>
      <c r="M318" s="568">
        <v>0.65</v>
      </c>
    </row>
    <row r="319" spans="1:16" ht="12.75" customHeight="1">
      <c r="A319" s="987"/>
      <c r="B319" s="988"/>
      <c r="C319" s="989"/>
      <c r="D319" s="989"/>
      <c r="E319" s="989"/>
      <c r="F319" s="989"/>
      <c r="G319" s="930"/>
      <c r="H319" s="930"/>
      <c r="I319" s="930"/>
      <c r="J319" s="989"/>
      <c r="K319" s="990"/>
      <c r="L319" s="522"/>
      <c r="M319" s="568">
        <v>0.65</v>
      </c>
      <c r="N319" s="522"/>
      <c r="O319" s="522"/>
      <c r="P319" s="522"/>
    </row>
    <row r="320" spans="1:16" ht="12.75">
      <c r="A320" s="913">
        <v>5</v>
      </c>
      <c r="B320" s="914"/>
      <c r="C320" s="915"/>
      <c r="D320" s="915"/>
      <c r="E320" s="916" t="s">
        <v>75</v>
      </c>
      <c r="F320" s="915"/>
      <c r="G320" s="917"/>
      <c r="H320" s="917"/>
      <c r="I320" s="917"/>
      <c r="J320" s="961"/>
      <c r="K320" s="962"/>
      <c r="L320" s="522"/>
      <c r="M320" s="568">
        <v>0.65</v>
      </c>
      <c r="N320" s="522"/>
      <c r="O320" s="522"/>
      <c r="P320" s="522"/>
    </row>
    <row r="321" spans="1:16" ht="37.5" customHeight="1">
      <c r="A321" s="949" t="s">
        <v>57</v>
      </c>
      <c r="B321" s="957" t="s">
        <v>77</v>
      </c>
      <c r="C321" s="957" t="s">
        <v>17</v>
      </c>
      <c r="D321" s="957" t="s">
        <v>78</v>
      </c>
      <c r="E321" s="963" t="s">
        <v>79</v>
      </c>
      <c r="F321" s="957" t="s">
        <v>19</v>
      </c>
      <c r="G321" s="952">
        <v>924.39</v>
      </c>
      <c r="H321" s="930">
        <f t="shared" si="32"/>
        <v>7.1240000000000006</v>
      </c>
      <c r="I321" s="930">
        <f>(H321*$K$10)+H321</f>
        <v>8.7525464</v>
      </c>
      <c r="J321" s="931">
        <f>I321*G321</f>
        <v>8090.766366696</v>
      </c>
      <c r="K321" s="968"/>
      <c r="L321" s="522"/>
      <c r="M321" s="568">
        <v>0.65</v>
      </c>
      <c r="N321" s="569">
        <v>10.96</v>
      </c>
      <c r="O321" s="522"/>
      <c r="P321" s="522"/>
    </row>
    <row r="322" spans="1:16" ht="38.25">
      <c r="A322" s="949" t="s">
        <v>60</v>
      </c>
      <c r="B322" s="956"/>
      <c r="C322" s="957" t="s">
        <v>17</v>
      </c>
      <c r="D322" s="957" t="s">
        <v>81</v>
      </c>
      <c r="E322" s="963" t="s">
        <v>82</v>
      </c>
      <c r="F322" s="957" t="s">
        <v>19</v>
      </c>
      <c r="G322" s="952">
        <v>924.39</v>
      </c>
      <c r="H322" s="930">
        <f>N322*M322</f>
        <v>2.8600000000000003</v>
      </c>
      <c r="I322" s="930">
        <f>(H322*$K$10)+H322</f>
        <v>3.513796</v>
      </c>
      <c r="J322" s="931">
        <f>I322*G322</f>
        <v>3248.11788444</v>
      </c>
      <c r="K322" s="968"/>
      <c r="L322" s="522"/>
      <c r="M322" s="568">
        <v>0.65</v>
      </c>
      <c r="N322" s="569">
        <v>4.4</v>
      </c>
      <c r="O322" s="522"/>
      <c r="P322" s="522"/>
    </row>
    <row r="323" spans="1:13" s="944" customFormat="1" ht="12.75">
      <c r="A323" s="913"/>
      <c r="B323" s="914"/>
      <c r="C323" s="915"/>
      <c r="D323" s="915"/>
      <c r="E323" s="916" t="s">
        <v>53</v>
      </c>
      <c r="F323" s="916"/>
      <c r="G323" s="917"/>
      <c r="H323" s="917">
        <f t="shared" si="32"/>
        <v>0</v>
      </c>
      <c r="I323" s="917"/>
      <c r="J323" s="942">
        <f>SUM(J321:J322)</f>
        <v>11338.884251136</v>
      </c>
      <c r="K323" s="943">
        <f>K318+J323</f>
        <v>370828.68784187606</v>
      </c>
      <c r="M323" s="568">
        <v>0.65</v>
      </c>
    </row>
    <row r="324" spans="1:16" ht="12.75">
      <c r="A324" s="991"/>
      <c r="B324" s="992"/>
      <c r="C324" s="957"/>
      <c r="D324" s="957"/>
      <c r="E324" s="958"/>
      <c r="F324" s="958"/>
      <c r="G324" s="930"/>
      <c r="H324" s="930"/>
      <c r="I324" s="930"/>
      <c r="J324" s="959"/>
      <c r="K324" s="960"/>
      <c r="L324" s="522"/>
      <c r="M324" s="568">
        <v>0.65</v>
      </c>
      <c r="N324" s="522"/>
      <c r="O324" s="522"/>
      <c r="P324" s="522"/>
    </row>
    <row r="325" spans="1:16" ht="12.75">
      <c r="A325" s="913">
        <v>6</v>
      </c>
      <c r="B325" s="914"/>
      <c r="C325" s="915"/>
      <c r="D325" s="915"/>
      <c r="E325" s="916" t="s">
        <v>83</v>
      </c>
      <c r="F325" s="915"/>
      <c r="G325" s="917"/>
      <c r="H325" s="917"/>
      <c r="I325" s="917"/>
      <c r="J325" s="961"/>
      <c r="K325" s="962"/>
      <c r="L325" s="522"/>
      <c r="M325" s="568">
        <v>0.65</v>
      </c>
      <c r="N325" s="522"/>
      <c r="O325" s="522"/>
      <c r="P325" s="522"/>
    </row>
    <row r="326" spans="1:16" ht="132" customHeight="1">
      <c r="A326" s="949" t="s">
        <v>62</v>
      </c>
      <c r="B326" s="956"/>
      <c r="C326" s="957" t="s">
        <v>17</v>
      </c>
      <c r="D326" s="957" t="s">
        <v>85</v>
      </c>
      <c r="E326" s="929" t="s">
        <v>86</v>
      </c>
      <c r="F326" s="957" t="s">
        <v>9</v>
      </c>
      <c r="G326" s="930">
        <f>4+21+5+1</f>
        <v>31</v>
      </c>
      <c r="H326" s="930">
        <f>N326*M326</f>
        <v>149.8965</v>
      </c>
      <c r="I326" s="930">
        <f>(H326*$K$10)+H326</f>
        <v>184.1628399</v>
      </c>
      <c r="J326" s="931">
        <f>I326*G326</f>
        <v>5709.0480369</v>
      </c>
      <c r="K326" s="968"/>
      <c r="L326" s="522"/>
      <c r="M326" s="568">
        <v>0.65</v>
      </c>
      <c r="N326" s="569">
        <v>230.61</v>
      </c>
      <c r="O326" s="522"/>
      <c r="P326" s="522"/>
    </row>
    <row r="327" spans="1:16" ht="51">
      <c r="A327" s="949" t="s">
        <v>158</v>
      </c>
      <c r="B327" s="956"/>
      <c r="C327" s="957" t="s">
        <v>17</v>
      </c>
      <c r="D327" s="957">
        <v>93128</v>
      </c>
      <c r="E327" s="963" t="s">
        <v>88</v>
      </c>
      <c r="F327" s="957" t="s">
        <v>9</v>
      </c>
      <c r="G327" s="930">
        <v>25</v>
      </c>
      <c r="H327" s="930">
        <v>46</v>
      </c>
      <c r="I327" s="930">
        <f>(H327*$K$10)+H327</f>
        <v>56.5156</v>
      </c>
      <c r="J327" s="931">
        <f>I327*G327</f>
        <v>1412.8899999999999</v>
      </c>
      <c r="K327" s="993"/>
      <c r="L327" s="522"/>
      <c r="M327" s="568">
        <v>0.65</v>
      </c>
      <c r="N327" s="569"/>
      <c r="O327" s="522"/>
      <c r="P327" s="522"/>
    </row>
    <row r="328" spans="1:16" ht="51">
      <c r="A328" s="949" t="s">
        <v>159</v>
      </c>
      <c r="B328" s="956"/>
      <c r="C328" s="976" t="s">
        <v>17</v>
      </c>
      <c r="D328" s="976" t="s">
        <v>474</v>
      </c>
      <c r="E328" s="977" t="s">
        <v>473</v>
      </c>
      <c r="F328" s="976" t="s">
        <v>9</v>
      </c>
      <c r="G328" s="994">
        <v>25</v>
      </c>
      <c r="H328" s="994">
        <v>114.95</v>
      </c>
      <c r="I328" s="930">
        <f aca="true" t="shared" si="34" ref="I328:I334">(H328*$K$10)+H328</f>
        <v>141.22757000000001</v>
      </c>
      <c r="J328" s="931">
        <f>I328*G328</f>
        <v>3530.6892500000004</v>
      </c>
      <c r="K328" s="993"/>
      <c r="L328" s="522"/>
      <c r="M328" s="568"/>
      <c r="N328" s="569"/>
      <c r="O328" s="522"/>
      <c r="P328" s="522"/>
    </row>
    <row r="329" spans="1:16" ht="25.5">
      <c r="A329" s="949" t="s">
        <v>162</v>
      </c>
      <c r="B329" s="978"/>
      <c r="C329" s="976" t="s">
        <v>17</v>
      </c>
      <c r="D329" s="976" t="s">
        <v>447</v>
      </c>
      <c r="E329" s="977" t="s">
        <v>448</v>
      </c>
      <c r="F329" s="957" t="s">
        <v>9</v>
      </c>
      <c r="G329" s="994">
        <v>1</v>
      </c>
      <c r="H329" s="994">
        <v>160.23</v>
      </c>
      <c r="I329" s="930">
        <f t="shared" si="34"/>
        <v>196.858578</v>
      </c>
      <c r="J329" s="931">
        <f>I329*G329</f>
        <v>196.858578</v>
      </c>
      <c r="K329" s="993"/>
      <c r="L329" s="522"/>
      <c r="M329" s="568"/>
      <c r="N329" s="569"/>
      <c r="O329" s="522"/>
      <c r="P329" s="522"/>
    </row>
    <row r="330" spans="1:16" ht="12.75">
      <c r="A330" s="949" t="s">
        <v>507</v>
      </c>
      <c r="B330" s="978"/>
      <c r="C330" s="976" t="s">
        <v>17</v>
      </c>
      <c r="D330" s="976" t="s">
        <v>450</v>
      </c>
      <c r="E330" s="977" t="s">
        <v>449</v>
      </c>
      <c r="F330" s="957" t="s">
        <v>9</v>
      </c>
      <c r="G330" s="994">
        <v>1</v>
      </c>
      <c r="H330" s="994">
        <v>52.88</v>
      </c>
      <c r="I330" s="994">
        <f t="shared" si="34"/>
        <v>64.968368</v>
      </c>
      <c r="J330" s="995">
        <f>I330*G330</f>
        <v>64.968368</v>
      </c>
      <c r="K330" s="996"/>
      <c r="L330" s="522"/>
      <c r="M330" s="568"/>
      <c r="N330" s="569"/>
      <c r="O330" s="522"/>
      <c r="P330" s="522"/>
    </row>
    <row r="331" spans="1:16" ht="25.5">
      <c r="A331" s="949" t="s">
        <v>508</v>
      </c>
      <c r="B331" s="978"/>
      <c r="C331" s="976" t="s">
        <v>285</v>
      </c>
      <c r="D331" s="976">
        <v>90458</v>
      </c>
      <c r="E331" s="977" t="s">
        <v>453</v>
      </c>
      <c r="F331" s="976" t="s">
        <v>9</v>
      </c>
      <c r="G331" s="994">
        <v>1</v>
      </c>
      <c r="H331" s="994">
        <v>19.97</v>
      </c>
      <c r="I331" s="994">
        <f t="shared" si="34"/>
        <v>24.535142</v>
      </c>
      <c r="J331" s="997">
        <f>(I331*$K$10)+I331</f>
        <v>30.1438754612</v>
      </c>
      <c r="K331" s="996"/>
      <c r="L331" s="522"/>
      <c r="M331" s="568"/>
      <c r="N331" s="569"/>
      <c r="O331" s="522"/>
      <c r="P331" s="522"/>
    </row>
    <row r="332" spans="1:16" ht="12.75">
      <c r="A332" s="949" t="s">
        <v>509</v>
      </c>
      <c r="B332" s="978"/>
      <c r="C332" s="976" t="s">
        <v>17</v>
      </c>
      <c r="D332" s="976" t="s">
        <v>458</v>
      </c>
      <c r="E332" s="977" t="s">
        <v>459</v>
      </c>
      <c r="F332" s="976" t="s">
        <v>9</v>
      </c>
      <c r="G332" s="994">
        <v>1</v>
      </c>
      <c r="H332" s="994">
        <v>84.8</v>
      </c>
      <c r="I332" s="994">
        <f t="shared" si="34"/>
        <v>104.18527999999999</v>
      </c>
      <c r="J332" s="997">
        <f>(I332*$K$10)+I332</f>
        <v>128.00203500799998</v>
      </c>
      <c r="K332" s="996"/>
      <c r="L332" s="522"/>
      <c r="M332" s="568"/>
      <c r="N332" s="569"/>
      <c r="O332" s="522"/>
      <c r="P332" s="522"/>
    </row>
    <row r="333" spans="1:16" ht="38.25">
      <c r="A333" s="949" t="s">
        <v>510</v>
      </c>
      <c r="B333" s="978"/>
      <c r="C333" s="976" t="s">
        <v>17</v>
      </c>
      <c r="D333" s="976" t="s">
        <v>463</v>
      </c>
      <c r="E333" s="977" t="s">
        <v>462</v>
      </c>
      <c r="F333" s="976" t="s">
        <v>172</v>
      </c>
      <c r="G333" s="994">
        <v>88</v>
      </c>
      <c r="H333" s="994">
        <v>84.8</v>
      </c>
      <c r="I333" s="994">
        <f t="shared" si="34"/>
        <v>104.18527999999999</v>
      </c>
      <c r="J333" s="997">
        <f>(I333*$K$10)+I333</f>
        <v>128.00203500799998</v>
      </c>
      <c r="K333" s="996"/>
      <c r="L333" s="522"/>
      <c r="M333" s="568"/>
      <c r="N333" s="569"/>
      <c r="O333" s="522"/>
      <c r="P333" s="522"/>
    </row>
    <row r="334" spans="1:16" ht="38.25">
      <c r="A334" s="949" t="s">
        <v>511</v>
      </c>
      <c r="B334" s="978"/>
      <c r="C334" s="976" t="s">
        <v>17</v>
      </c>
      <c r="D334" s="976" t="s">
        <v>465</v>
      </c>
      <c r="E334" s="977" t="s">
        <v>464</v>
      </c>
      <c r="F334" s="976" t="s">
        <v>172</v>
      </c>
      <c r="G334" s="994">
        <v>177.3</v>
      </c>
      <c r="H334" s="994">
        <v>84.8</v>
      </c>
      <c r="I334" s="994">
        <f t="shared" si="34"/>
        <v>104.18527999999999</v>
      </c>
      <c r="J334" s="997">
        <f>(I334*$K$10)+I334</f>
        <v>128.00203500799998</v>
      </c>
      <c r="K334" s="996"/>
      <c r="L334" s="522"/>
      <c r="M334" s="568"/>
      <c r="N334" s="569"/>
      <c r="O334" s="522"/>
      <c r="P334" s="522"/>
    </row>
    <row r="335" spans="1:13" s="944" customFormat="1" ht="12.75">
      <c r="A335" s="913"/>
      <c r="B335" s="914"/>
      <c r="C335" s="915"/>
      <c r="D335" s="915"/>
      <c r="E335" s="916" t="s">
        <v>53</v>
      </c>
      <c r="F335" s="916"/>
      <c r="G335" s="917"/>
      <c r="H335" s="917"/>
      <c r="I335" s="917"/>
      <c r="J335" s="942">
        <f>SUM(J326:J332,J333:J334)</f>
        <v>11328.604213385197</v>
      </c>
      <c r="K335" s="998">
        <f>J335+K323</f>
        <v>382157.29205526126</v>
      </c>
      <c r="M335" s="568">
        <v>0.65</v>
      </c>
    </row>
    <row r="336" spans="1:16" ht="12.75" customHeight="1">
      <c r="A336" s="999"/>
      <c r="B336" s="1000"/>
      <c r="C336" s="1001"/>
      <c r="D336" s="1001"/>
      <c r="E336" s="1001"/>
      <c r="F336" s="1001"/>
      <c r="G336" s="930"/>
      <c r="H336" s="930"/>
      <c r="I336" s="930"/>
      <c r="J336" s="1001"/>
      <c r="K336" s="1002"/>
      <c r="L336" s="522"/>
      <c r="M336" s="568">
        <v>0.65</v>
      </c>
      <c r="N336" s="522"/>
      <c r="O336" s="522"/>
      <c r="P336" s="522"/>
    </row>
    <row r="337" spans="1:16" ht="12.75">
      <c r="A337" s="1003">
        <v>7</v>
      </c>
      <c r="B337" s="1004"/>
      <c r="C337" s="1005"/>
      <c r="D337" s="1005"/>
      <c r="E337" s="1006" t="s">
        <v>226</v>
      </c>
      <c r="F337" s="1005"/>
      <c r="G337" s="1007"/>
      <c r="H337" s="1007"/>
      <c r="I337" s="917"/>
      <c r="J337" s="1008"/>
      <c r="K337" s="1009"/>
      <c r="L337" s="705"/>
      <c r="M337" s="568">
        <v>0.65</v>
      </c>
      <c r="N337" s="706"/>
      <c r="O337" s="705"/>
      <c r="P337" s="522"/>
    </row>
    <row r="338" spans="1:16" ht="51">
      <c r="A338" s="1010" t="s">
        <v>65</v>
      </c>
      <c r="B338" s="1011"/>
      <c r="C338" s="951" t="s">
        <v>17</v>
      </c>
      <c r="D338" s="1012" t="s">
        <v>235</v>
      </c>
      <c r="E338" s="1012" t="s">
        <v>236</v>
      </c>
      <c r="F338" s="951" t="s">
        <v>406</v>
      </c>
      <c r="G338" s="1013">
        <v>1</v>
      </c>
      <c r="H338" s="930">
        <f aca="true" t="shared" si="35" ref="H338:H351">N338*M338</f>
        <v>39.435500000000005</v>
      </c>
      <c r="I338" s="930">
        <f aca="true" t="shared" si="36" ref="I338:I347">(H338*$K$10)+H338</f>
        <v>48.4504553</v>
      </c>
      <c r="J338" s="931">
        <f aca="true" t="shared" si="37" ref="J338:J351">I338*G338</f>
        <v>48.4504553</v>
      </c>
      <c r="K338" s="1014"/>
      <c r="L338" s="713"/>
      <c r="M338" s="568">
        <v>0.65</v>
      </c>
      <c r="N338" s="706">
        <v>60.67</v>
      </c>
      <c r="O338" s="705"/>
      <c r="P338" s="522"/>
    </row>
    <row r="339" spans="1:16" ht="51">
      <c r="A339" s="1010" t="s">
        <v>66</v>
      </c>
      <c r="B339" s="1011"/>
      <c r="C339" s="951" t="s">
        <v>17</v>
      </c>
      <c r="D339" s="1012" t="s">
        <v>178</v>
      </c>
      <c r="E339" s="1012" t="s">
        <v>179</v>
      </c>
      <c r="F339" s="951" t="s">
        <v>55</v>
      </c>
      <c r="G339" s="1013">
        <v>4</v>
      </c>
      <c r="H339" s="930">
        <f t="shared" si="35"/>
        <v>31.8565</v>
      </c>
      <c r="I339" s="930">
        <f t="shared" si="36"/>
        <v>39.1388959</v>
      </c>
      <c r="J339" s="931">
        <f t="shared" si="37"/>
        <v>156.5555836</v>
      </c>
      <c r="K339" s="1014"/>
      <c r="L339" s="713"/>
      <c r="M339" s="568">
        <v>0.65</v>
      </c>
      <c r="N339" s="706">
        <v>49.01</v>
      </c>
      <c r="O339" s="705"/>
      <c r="P339" s="522"/>
    </row>
    <row r="340" spans="1:16" ht="51">
      <c r="A340" s="1010" t="s">
        <v>163</v>
      </c>
      <c r="B340" s="1011"/>
      <c r="C340" s="951" t="s">
        <v>17</v>
      </c>
      <c r="D340" s="1012" t="s">
        <v>181</v>
      </c>
      <c r="E340" s="1012" t="s">
        <v>182</v>
      </c>
      <c r="F340" s="951" t="s">
        <v>55</v>
      </c>
      <c r="G340" s="1013">
        <v>6</v>
      </c>
      <c r="H340" s="930">
        <f t="shared" si="35"/>
        <v>56.71900000000001</v>
      </c>
      <c r="I340" s="930">
        <f t="shared" si="36"/>
        <v>69.68496340000002</v>
      </c>
      <c r="J340" s="931">
        <f t="shared" si="37"/>
        <v>418.1097804000001</v>
      </c>
      <c r="K340" s="1014"/>
      <c r="L340" s="713"/>
      <c r="M340" s="568">
        <v>0.65</v>
      </c>
      <c r="N340" s="706">
        <v>87.26</v>
      </c>
      <c r="O340" s="705"/>
      <c r="P340" s="522"/>
    </row>
    <row r="341" spans="1:16" ht="76.5">
      <c r="A341" s="1010" t="s">
        <v>294</v>
      </c>
      <c r="B341" s="1015"/>
      <c r="C341" s="951" t="s">
        <v>17</v>
      </c>
      <c r="D341" s="951" t="s">
        <v>237</v>
      </c>
      <c r="E341" s="1012" t="s">
        <v>238</v>
      </c>
      <c r="F341" s="951" t="s">
        <v>55</v>
      </c>
      <c r="G341" s="1013">
        <v>6</v>
      </c>
      <c r="H341" s="930">
        <f t="shared" si="35"/>
        <v>224.4515</v>
      </c>
      <c r="I341" s="930">
        <f t="shared" si="36"/>
        <v>275.7611129</v>
      </c>
      <c r="J341" s="931">
        <f t="shared" si="37"/>
        <v>1654.5666774000001</v>
      </c>
      <c r="K341" s="1014"/>
      <c r="L341" s="713"/>
      <c r="M341" s="568">
        <v>0.65</v>
      </c>
      <c r="N341" s="714">
        <v>345.31</v>
      </c>
      <c r="O341" s="705"/>
      <c r="P341" s="522"/>
    </row>
    <row r="342" spans="1:16" ht="63.75" customHeight="1">
      <c r="A342" s="1010" t="s">
        <v>295</v>
      </c>
      <c r="B342" s="1011"/>
      <c r="C342" s="951" t="s">
        <v>17</v>
      </c>
      <c r="D342" s="1012" t="s">
        <v>185</v>
      </c>
      <c r="E342" s="1012" t="s">
        <v>399</v>
      </c>
      <c r="F342" s="951" t="s">
        <v>55</v>
      </c>
      <c r="G342" s="1013">
        <v>6</v>
      </c>
      <c r="H342" s="930">
        <f t="shared" si="35"/>
        <v>115.9015</v>
      </c>
      <c r="I342" s="930">
        <f t="shared" si="36"/>
        <v>142.3965829</v>
      </c>
      <c r="J342" s="931">
        <f t="shared" si="37"/>
        <v>854.3794974</v>
      </c>
      <c r="K342" s="1014"/>
      <c r="L342" s="713"/>
      <c r="M342" s="568">
        <v>0.65</v>
      </c>
      <c r="N342" s="714">
        <v>178.31</v>
      </c>
      <c r="O342" s="705"/>
      <c r="P342" s="522"/>
    </row>
    <row r="343" spans="1:16" ht="44.25" customHeight="1">
      <c r="A343" s="1010" t="s">
        <v>293</v>
      </c>
      <c r="B343" s="1011"/>
      <c r="C343" s="951" t="s">
        <v>17</v>
      </c>
      <c r="D343" s="1012" t="s">
        <v>187</v>
      </c>
      <c r="E343" s="1012" t="s">
        <v>188</v>
      </c>
      <c r="F343" s="951" t="s">
        <v>55</v>
      </c>
      <c r="G343" s="1013">
        <v>6</v>
      </c>
      <c r="H343" s="930">
        <f t="shared" si="35"/>
        <v>125.72950000000002</v>
      </c>
      <c r="I343" s="930">
        <f t="shared" si="36"/>
        <v>154.4712637</v>
      </c>
      <c r="J343" s="931">
        <f t="shared" si="37"/>
        <v>926.8275822</v>
      </c>
      <c r="K343" s="1014"/>
      <c r="L343" s="713"/>
      <c r="M343" s="568">
        <v>0.65</v>
      </c>
      <c r="N343" s="714">
        <v>193.43</v>
      </c>
      <c r="O343" s="705"/>
      <c r="P343" s="522"/>
    </row>
    <row r="344" spans="1:16" ht="72.75" customHeight="1">
      <c r="A344" s="1010" t="s">
        <v>296</v>
      </c>
      <c r="B344" s="1011"/>
      <c r="C344" s="951" t="s">
        <v>17</v>
      </c>
      <c r="D344" s="1012" t="s">
        <v>245</v>
      </c>
      <c r="E344" s="1012" t="s">
        <v>496</v>
      </c>
      <c r="F344" s="951" t="s">
        <v>55</v>
      </c>
      <c r="G344" s="1013">
        <v>6</v>
      </c>
      <c r="H344" s="930">
        <f t="shared" si="35"/>
        <v>174.525</v>
      </c>
      <c r="I344" s="930">
        <f t="shared" si="36"/>
        <v>214.421415</v>
      </c>
      <c r="J344" s="931">
        <f t="shared" si="37"/>
        <v>1286.52849</v>
      </c>
      <c r="K344" s="1014"/>
      <c r="L344" s="713"/>
      <c r="M344" s="568">
        <v>0.65</v>
      </c>
      <c r="N344" s="714">
        <v>268.5</v>
      </c>
      <c r="O344" s="705"/>
      <c r="P344" s="522"/>
    </row>
    <row r="345" spans="1:16" ht="76.5">
      <c r="A345" s="1010" t="s">
        <v>470</v>
      </c>
      <c r="B345" s="1011"/>
      <c r="C345" s="951" t="s">
        <v>17</v>
      </c>
      <c r="D345" s="1012" t="s">
        <v>247</v>
      </c>
      <c r="E345" s="986" t="s">
        <v>246</v>
      </c>
      <c r="F345" s="951" t="s">
        <v>55</v>
      </c>
      <c r="G345" s="1013">
        <v>3</v>
      </c>
      <c r="H345" s="930">
        <f t="shared" si="35"/>
        <v>120.41250000000001</v>
      </c>
      <c r="I345" s="930">
        <f t="shared" si="36"/>
        <v>147.93879750000002</v>
      </c>
      <c r="J345" s="931">
        <f t="shared" si="37"/>
        <v>443.81639250000006</v>
      </c>
      <c r="K345" s="1014"/>
      <c r="L345" s="713"/>
      <c r="M345" s="568">
        <v>0.65</v>
      </c>
      <c r="N345" s="714">
        <v>185.25</v>
      </c>
      <c r="O345" s="705"/>
      <c r="P345" s="522"/>
    </row>
    <row r="346" spans="1:16" ht="89.25">
      <c r="A346" s="1010" t="s">
        <v>471</v>
      </c>
      <c r="B346" s="1011"/>
      <c r="C346" s="951" t="s">
        <v>17</v>
      </c>
      <c r="D346" s="1012" t="s">
        <v>239</v>
      </c>
      <c r="E346" s="1012" t="s">
        <v>240</v>
      </c>
      <c r="F346" s="951" t="s">
        <v>55</v>
      </c>
      <c r="G346" s="1016">
        <v>6</v>
      </c>
      <c r="H346" s="930">
        <f t="shared" si="35"/>
        <v>83.8565</v>
      </c>
      <c r="I346" s="930">
        <f t="shared" si="36"/>
        <v>103.0260959</v>
      </c>
      <c r="J346" s="931">
        <f>I346*G346</f>
        <v>618.1565754000001</v>
      </c>
      <c r="K346" s="1014"/>
      <c r="L346" s="713"/>
      <c r="M346" s="568">
        <v>0.65</v>
      </c>
      <c r="N346" s="714">
        <v>129.01</v>
      </c>
      <c r="O346" s="705"/>
      <c r="P346" s="522"/>
    </row>
    <row r="347" spans="1:16" ht="25.5">
      <c r="A347" s="1010" t="s">
        <v>512</v>
      </c>
      <c r="B347" s="1017"/>
      <c r="C347" s="951" t="s">
        <v>17</v>
      </c>
      <c r="D347" s="956" t="s">
        <v>280</v>
      </c>
      <c r="E347" s="1018" t="s">
        <v>279</v>
      </c>
      <c r="F347" s="951" t="s">
        <v>413</v>
      </c>
      <c r="G347" s="1019">
        <v>1.92</v>
      </c>
      <c r="H347" s="930">
        <f t="shared" si="35"/>
        <v>140.478</v>
      </c>
      <c r="I347" s="930">
        <f t="shared" si="36"/>
        <v>172.59127080000002</v>
      </c>
      <c r="J347" s="931">
        <f>I347*G347</f>
        <v>331.375239936</v>
      </c>
      <c r="K347" s="1014"/>
      <c r="L347" s="705"/>
      <c r="M347" s="568">
        <v>0.65</v>
      </c>
      <c r="N347" s="706">
        <v>216.12</v>
      </c>
      <c r="O347" s="705"/>
      <c r="P347" s="522"/>
    </row>
    <row r="348" spans="1:16" ht="76.5">
      <c r="A348" s="1010" t="s">
        <v>513</v>
      </c>
      <c r="B348" s="950"/>
      <c r="C348" s="951" t="s">
        <v>17</v>
      </c>
      <c r="D348" s="951" t="s">
        <v>241</v>
      </c>
      <c r="E348" s="1012" t="s">
        <v>242</v>
      </c>
      <c r="F348" s="951" t="s">
        <v>55</v>
      </c>
      <c r="G348" s="1016">
        <v>2</v>
      </c>
      <c r="H348" s="930">
        <f t="shared" si="35"/>
        <v>182.67600000000002</v>
      </c>
      <c r="I348" s="930">
        <f aca="true" t="shared" si="38" ref="I348:I364">(H348*$K$10)+H348</f>
        <v>224.43573360000002</v>
      </c>
      <c r="J348" s="931">
        <f t="shared" si="37"/>
        <v>448.87146720000004</v>
      </c>
      <c r="K348" s="1020"/>
      <c r="L348" s="705"/>
      <c r="M348" s="568">
        <v>0.65</v>
      </c>
      <c r="N348" s="706">
        <v>281.04</v>
      </c>
      <c r="O348" s="705"/>
      <c r="P348" s="522"/>
    </row>
    <row r="349" spans="1:16" ht="51">
      <c r="A349" s="1010" t="s">
        <v>514</v>
      </c>
      <c r="B349" s="950"/>
      <c r="C349" s="951" t="s">
        <v>17</v>
      </c>
      <c r="D349" s="951" t="s">
        <v>243</v>
      </c>
      <c r="E349" s="1012" t="s">
        <v>244</v>
      </c>
      <c r="F349" s="951" t="s">
        <v>55</v>
      </c>
      <c r="G349" s="1016">
        <v>2</v>
      </c>
      <c r="H349" s="930">
        <f t="shared" si="35"/>
        <v>100.63950000000001</v>
      </c>
      <c r="I349" s="930">
        <f t="shared" si="38"/>
        <v>123.64568970000002</v>
      </c>
      <c r="J349" s="931">
        <f t="shared" si="37"/>
        <v>247.29137940000004</v>
      </c>
      <c r="K349" s="1014"/>
      <c r="L349" s="705"/>
      <c r="M349" s="568">
        <v>0.65</v>
      </c>
      <c r="N349" s="706">
        <v>154.83</v>
      </c>
      <c r="O349" s="705"/>
      <c r="P349" s="522"/>
    </row>
    <row r="350" spans="1:15" ht="51">
      <c r="A350" s="1010" t="s">
        <v>515</v>
      </c>
      <c r="B350" s="950"/>
      <c r="C350" s="951" t="s">
        <v>17</v>
      </c>
      <c r="D350" s="951" t="s">
        <v>248</v>
      </c>
      <c r="E350" s="1012" t="s">
        <v>249</v>
      </c>
      <c r="F350" s="951" t="s">
        <v>55</v>
      </c>
      <c r="G350" s="1016">
        <v>6</v>
      </c>
      <c r="H350" s="930">
        <f t="shared" si="35"/>
        <v>159.783</v>
      </c>
      <c r="I350" s="930">
        <f t="shared" si="38"/>
        <v>196.30939379999998</v>
      </c>
      <c r="J350" s="931">
        <f t="shared" si="37"/>
        <v>1177.8563628</v>
      </c>
      <c r="K350" s="1021"/>
      <c r="L350" s="705"/>
      <c r="M350" s="568">
        <v>0.65</v>
      </c>
      <c r="N350" s="706">
        <v>245.82</v>
      </c>
      <c r="O350" s="705"/>
    </row>
    <row r="351" spans="1:15" ht="12.75">
      <c r="A351" s="1010" t="s">
        <v>516</v>
      </c>
      <c r="B351" s="950"/>
      <c r="C351" s="951" t="s">
        <v>17</v>
      </c>
      <c r="D351" s="1022" t="s">
        <v>274</v>
      </c>
      <c r="E351" s="1023" t="s">
        <v>273</v>
      </c>
      <c r="F351" s="951" t="s">
        <v>55</v>
      </c>
      <c r="G351" s="1016">
        <v>5</v>
      </c>
      <c r="H351" s="930">
        <f t="shared" si="35"/>
        <v>64.48</v>
      </c>
      <c r="I351" s="930">
        <f t="shared" si="38"/>
        <v>79.220128</v>
      </c>
      <c r="J351" s="931">
        <f t="shared" si="37"/>
        <v>396.10064</v>
      </c>
      <c r="K351" s="1021"/>
      <c r="L351" s="705"/>
      <c r="M351" s="568">
        <v>0.65</v>
      </c>
      <c r="N351" s="706">
        <v>99.2</v>
      </c>
      <c r="O351" s="705"/>
    </row>
    <row r="352" spans="1:15" ht="38.25">
      <c r="A352" s="1010" t="s">
        <v>517</v>
      </c>
      <c r="B352" s="950"/>
      <c r="C352" s="951" t="s">
        <v>17</v>
      </c>
      <c r="D352" s="951" t="s">
        <v>478</v>
      </c>
      <c r="E352" s="1012" t="s">
        <v>477</v>
      </c>
      <c r="F352" s="951" t="s">
        <v>406</v>
      </c>
      <c r="G352" s="1024">
        <f>30.25+10.21</f>
        <v>40.46</v>
      </c>
      <c r="H352" s="1024">
        <v>39.19</v>
      </c>
      <c r="I352" s="930">
        <f>(H352*$K$10)+H352</f>
        <v>48.148833999999994</v>
      </c>
      <c r="J352" s="931">
        <f>I352*G352</f>
        <v>1948.1018236399998</v>
      </c>
      <c r="K352" s="1021"/>
      <c r="L352" s="705"/>
      <c r="M352" s="568">
        <v>0.65</v>
      </c>
      <c r="N352" s="706"/>
      <c r="O352" s="705"/>
    </row>
    <row r="353" spans="1:15" s="944" customFormat="1" ht="12.75">
      <c r="A353" s="1025"/>
      <c r="B353" s="1026"/>
      <c r="C353" s="1005"/>
      <c r="D353" s="1005"/>
      <c r="E353" s="916" t="s">
        <v>53</v>
      </c>
      <c r="F353" s="916"/>
      <c r="G353" s="917"/>
      <c r="H353" s="917"/>
      <c r="I353" s="917"/>
      <c r="J353" s="942">
        <f>SUM(J338:J351,J352)</f>
        <v>10956.987947176</v>
      </c>
      <c r="K353" s="998">
        <f>J353+K335</f>
        <v>393114.28000243724</v>
      </c>
      <c r="L353" s="1027">
        <f>SUM(L347:L349)</f>
        <v>0</v>
      </c>
      <c r="M353" s="568">
        <v>0.65</v>
      </c>
      <c r="N353" s="1028"/>
      <c r="O353" s="1029"/>
    </row>
    <row r="354" spans="1:16" ht="12.75">
      <c r="A354" s="949"/>
      <c r="B354" s="956"/>
      <c r="C354" s="957"/>
      <c r="D354" s="957"/>
      <c r="E354" s="963"/>
      <c r="F354" s="957"/>
      <c r="G354" s="930"/>
      <c r="H354" s="930"/>
      <c r="I354" s="930"/>
      <c r="J354" s="931"/>
      <c r="K354" s="993"/>
      <c r="L354" s="522"/>
      <c r="M354" s="568">
        <v>0.65</v>
      </c>
      <c r="N354" s="569"/>
      <c r="O354" s="522"/>
      <c r="P354" s="522"/>
    </row>
    <row r="355" spans="1:15" ht="12.75">
      <c r="A355" s="1003">
        <v>8</v>
      </c>
      <c r="B355" s="1026"/>
      <c r="C355" s="1005"/>
      <c r="D355" s="1005"/>
      <c r="E355" s="1006" t="s">
        <v>489</v>
      </c>
      <c r="F355" s="1005"/>
      <c r="G355" s="1007"/>
      <c r="H355" s="1007"/>
      <c r="I355" s="917"/>
      <c r="J355" s="1030"/>
      <c r="K355" s="1031"/>
      <c r="L355" s="732"/>
      <c r="M355" s="568">
        <v>0.65</v>
      </c>
      <c r="N355" s="706"/>
      <c r="O355" s="705"/>
    </row>
    <row r="356" spans="1:15" s="665" customFormat="1" ht="51">
      <c r="A356" s="1032" t="s">
        <v>68</v>
      </c>
      <c r="B356" s="950"/>
      <c r="C356" s="951" t="s">
        <v>17</v>
      </c>
      <c r="D356" s="952" t="s">
        <v>394</v>
      </c>
      <c r="E356" s="1033" t="s">
        <v>415</v>
      </c>
      <c r="F356" s="951" t="s">
        <v>55</v>
      </c>
      <c r="G356" s="928">
        <v>4</v>
      </c>
      <c r="H356" s="930">
        <f aca="true" t="shared" si="39" ref="H356:H364">N356*M356</f>
        <v>64.48</v>
      </c>
      <c r="I356" s="930">
        <f t="shared" si="38"/>
        <v>79.220128</v>
      </c>
      <c r="J356" s="931">
        <f aca="true" t="shared" si="40" ref="J356:J364">I356*G356</f>
        <v>316.880512</v>
      </c>
      <c r="K356" s="954"/>
      <c r="L356" s="1034"/>
      <c r="M356" s="568">
        <v>0.65</v>
      </c>
      <c r="N356" s="714">
        <v>99.2</v>
      </c>
      <c r="O356" s="713"/>
    </row>
    <row r="357" spans="1:15" s="665" customFormat="1" ht="51">
      <c r="A357" s="1032" t="s">
        <v>72</v>
      </c>
      <c r="B357" s="1035"/>
      <c r="C357" s="951" t="s">
        <v>17</v>
      </c>
      <c r="D357" s="952" t="s">
        <v>493</v>
      </c>
      <c r="E357" s="1033" t="s">
        <v>492</v>
      </c>
      <c r="F357" s="951" t="s">
        <v>55</v>
      </c>
      <c r="G357" s="928">
        <v>4</v>
      </c>
      <c r="H357" s="930">
        <f>N357*M357</f>
        <v>139.5875</v>
      </c>
      <c r="I357" s="930">
        <f>(H357*$K$10)+H357</f>
        <v>171.49720250000001</v>
      </c>
      <c r="J357" s="931">
        <f>I357*G357</f>
        <v>685.9888100000001</v>
      </c>
      <c r="K357" s="1036"/>
      <c r="L357" s="1034"/>
      <c r="M357" s="568">
        <v>0.65</v>
      </c>
      <c r="N357" s="714">
        <v>214.75</v>
      </c>
      <c r="O357" s="713"/>
    </row>
    <row r="358" spans="1:15" s="665" customFormat="1" ht="51">
      <c r="A358" s="1032" t="s">
        <v>164</v>
      </c>
      <c r="B358" s="1035"/>
      <c r="C358" s="951" t="s">
        <v>17</v>
      </c>
      <c r="D358" s="952" t="s">
        <v>494</v>
      </c>
      <c r="E358" s="1033" t="s">
        <v>495</v>
      </c>
      <c r="F358" s="951" t="s">
        <v>55</v>
      </c>
      <c r="G358" s="928">
        <v>2</v>
      </c>
      <c r="H358" s="930">
        <f>N358*M358</f>
        <v>131.6315</v>
      </c>
      <c r="I358" s="930">
        <f>(H358*$K$10)+H358</f>
        <v>161.7224609</v>
      </c>
      <c r="J358" s="931">
        <f>I358*G358</f>
        <v>323.4449218</v>
      </c>
      <c r="K358" s="1036"/>
      <c r="L358" s="1034"/>
      <c r="M358" s="568">
        <v>0.65</v>
      </c>
      <c r="N358" s="714">
        <v>202.51</v>
      </c>
      <c r="O358" s="713"/>
    </row>
    <row r="359" spans="1:15" ht="12.75">
      <c r="A359" s="1032" t="s">
        <v>221</v>
      </c>
      <c r="B359" s="1035"/>
      <c r="C359" s="1037" t="s">
        <v>17</v>
      </c>
      <c r="D359" s="970" t="s">
        <v>256</v>
      </c>
      <c r="E359" s="1038" t="s">
        <v>255</v>
      </c>
      <c r="F359" s="1037" t="s">
        <v>55</v>
      </c>
      <c r="G359" s="1039">
        <v>6</v>
      </c>
      <c r="H359" s="1040">
        <f t="shared" si="39"/>
        <v>34.6775</v>
      </c>
      <c r="I359" s="1040">
        <f t="shared" si="38"/>
        <v>42.6047765</v>
      </c>
      <c r="J359" s="1041">
        <f t="shared" si="40"/>
        <v>255.628659</v>
      </c>
      <c r="K359" s="1042"/>
      <c r="L359" s="732"/>
      <c r="M359" s="568">
        <v>0.65</v>
      </c>
      <c r="N359" s="706">
        <v>53.35</v>
      </c>
      <c r="O359" s="705"/>
    </row>
    <row r="360" spans="1:15" ht="63.75">
      <c r="A360" s="1032" t="s">
        <v>407</v>
      </c>
      <c r="B360" s="950"/>
      <c r="C360" s="951" t="s">
        <v>17</v>
      </c>
      <c r="D360" s="952" t="s">
        <v>264</v>
      </c>
      <c r="E360" s="953" t="s">
        <v>263</v>
      </c>
      <c r="F360" s="951" t="s">
        <v>413</v>
      </c>
      <c r="G360" s="930">
        <f>(1*2.1)+(0.8*2.1)</f>
        <v>3.7800000000000002</v>
      </c>
      <c r="H360" s="930">
        <f t="shared" si="39"/>
        <v>196.599</v>
      </c>
      <c r="I360" s="930">
        <f t="shared" si="38"/>
        <v>241.5415314</v>
      </c>
      <c r="J360" s="931">
        <f t="shared" si="40"/>
        <v>913.026988692</v>
      </c>
      <c r="K360" s="954"/>
      <c r="L360" s="732"/>
      <c r="M360" s="568">
        <v>0.65</v>
      </c>
      <c r="N360" s="706">
        <v>302.46</v>
      </c>
      <c r="O360" s="705"/>
    </row>
    <row r="361" spans="1:15" ht="25.5">
      <c r="A361" s="1032" t="s">
        <v>408</v>
      </c>
      <c r="B361" s="950"/>
      <c r="C361" s="951" t="s">
        <v>17</v>
      </c>
      <c r="D361" s="1043" t="s">
        <v>277</v>
      </c>
      <c r="E361" s="1044" t="s">
        <v>278</v>
      </c>
      <c r="F361" s="1045" t="s">
        <v>413</v>
      </c>
      <c r="G361" s="1046">
        <v>16.02</v>
      </c>
      <c r="H361" s="930">
        <f t="shared" si="39"/>
        <v>75.65350000000001</v>
      </c>
      <c r="I361" s="930">
        <f t="shared" si="38"/>
        <v>92.94789010000001</v>
      </c>
      <c r="J361" s="931">
        <f t="shared" si="40"/>
        <v>1489.025199402</v>
      </c>
      <c r="K361" s="954"/>
      <c r="L361" s="732"/>
      <c r="M361" s="568">
        <v>0.65</v>
      </c>
      <c r="N361" s="706">
        <v>116.39</v>
      </c>
      <c r="O361" s="705"/>
    </row>
    <row r="362" spans="1:15" ht="25.5">
      <c r="A362" s="1032" t="s">
        <v>409</v>
      </c>
      <c r="B362" s="950"/>
      <c r="C362" s="935" t="s">
        <v>17</v>
      </c>
      <c r="D362" s="956" t="s">
        <v>288</v>
      </c>
      <c r="E362" s="981" t="s">
        <v>287</v>
      </c>
      <c r="F362" s="928" t="s">
        <v>406</v>
      </c>
      <c r="G362" s="928">
        <v>4</v>
      </c>
      <c r="H362" s="930">
        <f t="shared" si="39"/>
        <v>53.43000000000001</v>
      </c>
      <c r="I362" s="930">
        <f t="shared" si="38"/>
        <v>65.64409800000001</v>
      </c>
      <c r="J362" s="931">
        <f t="shared" si="40"/>
        <v>262.57639200000006</v>
      </c>
      <c r="K362" s="936"/>
      <c r="L362" s="732"/>
      <c r="M362" s="568">
        <v>0.65</v>
      </c>
      <c r="N362" s="706">
        <v>82.2</v>
      </c>
      <c r="O362" s="705"/>
    </row>
    <row r="363" spans="1:15" ht="25.5">
      <c r="A363" s="1032" t="s">
        <v>410</v>
      </c>
      <c r="B363" s="950"/>
      <c r="C363" s="951" t="s">
        <v>17</v>
      </c>
      <c r="D363" s="956" t="s">
        <v>276</v>
      </c>
      <c r="E363" s="963" t="s">
        <v>275</v>
      </c>
      <c r="F363" s="951" t="s">
        <v>218</v>
      </c>
      <c r="G363" s="930">
        <v>35.72</v>
      </c>
      <c r="H363" s="930">
        <f t="shared" si="39"/>
        <v>225.5565</v>
      </c>
      <c r="I363" s="930">
        <f t="shared" si="38"/>
        <v>277.1187159</v>
      </c>
      <c r="J363" s="931">
        <f t="shared" si="40"/>
        <v>9898.680531947999</v>
      </c>
      <c r="K363" s="954"/>
      <c r="L363" s="732"/>
      <c r="M363" s="568">
        <v>0.65</v>
      </c>
      <c r="N363" s="706">
        <v>347.01</v>
      </c>
      <c r="O363" s="705"/>
    </row>
    <row r="364" spans="1:15" ht="38.25">
      <c r="A364" s="1032" t="s">
        <v>411</v>
      </c>
      <c r="B364" s="950"/>
      <c r="C364" s="951" t="s">
        <v>17</v>
      </c>
      <c r="D364" s="952" t="s">
        <v>268</v>
      </c>
      <c r="E364" s="953" t="s">
        <v>267</v>
      </c>
      <c r="F364" s="951" t="s">
        <v>218</v>
      </c>
      <c r="G364" s="930">
        <f>SUM(1.5*2.1)+(0.92*1)+(1*2.1)+(1*2.1)+(0.8*2.1)+(0.8*2.1)</f>
        <v>11.629999999999999</v>
      </c>
      <c r="H364" s="930">
        <f t="shared" si="39"/>
        <v>586.9175</v>
      </c>
      <c r="I364" s="930">
        <f t="shared" si="38"/>
        <v>721.0868405</v>
      </c>
      <c r="J364" s="931">
        <f t="shared" si="40"/>
        <v>8386.239955014998</v>
      </c>
      <c r="K364" s="954"/>
      <c r="L364" s="732"/>
      <c r="M364" s="568">
        <v>0.65</v>
      </c>
      <c r="N364" s="706">
        <v>902.95</v>
      </c>
      <c r="O364" s="705"/>
    </row>
    <row r="365" spans="1:15" ht="25.5">
      <c r="A365" s="1032" t="s">
        <v>412</v>
      </c>
      <c r="B365" s="950"/>
      <c r="C365" s="951" t="s">
        <v>17</v>
      </c>
      <c r="D365" s="952" t="s">
        <v>455</v>
      </c>
      <c r="E365" s="953" t="s">
        <v>454</v>
      </c>
      <c r="F365" s="951" t="s">
        <v>218</v>
      </c>
      <c r="G365" s="930">
        <v>105.66</v>
      </c>
      <c r="H365" s="930">
        <f>N365*M365</f>
        <v>33.9365</v>
      </c>
      <c r="I365" s="930">
        <f>(H365*$K$10)+H365</f>
        <v>41.694383900000005</v>
      </c>
      <c r="J365" s="931">
        <f>I365*G365</f>
        <v>4405.428602874001</v>
      </c>
      <c r="K365" s="1047"/>
      <c r="L365" s="732"/>
      <c r="M365" s="568">
        <v>0.65</v>
      </c>
      <c r="N365" s="706">
        <v>52.21</v>
      </c>
      <c r="O365" s="705"/>
    </row>
    <row r="366" spans="1:15" ht="38.25">
      <c r="A366" s="1032" t="s">
        <v>414</v>
      </c>
      <c r="B366" s="950"/>
      <c r="C366" s="951" t="s">
        <v>17</v>
      </c>
      <c r="D366" s="952" t="s">
        <v>457</v>
      </c>
      <c r="E366" s="953" t="s">
        <v>456</v>
      </c>
      <c r="F366" s="951" t="s">
        <v>55</v>
      </c>
      <c r="G366" s="930">
        <v>2</v>
      </c>
      <c r="H366" s="930">
        <v>296.59</v>
      </c>
      <c r="I366" s="930">
        <f>(H366*$K$10)+H366</f>
        <v>364.390474</v>
      </c>
      <c r="J366" s="931">
        <f>I366*G366</f>
        <v>728.780948</v>
      </c>
      <c r="K366" s="954"/>
      <c r="L366" s="732"/>
      <c r="M366" s="568"/>
      <c r="N366" s="706"/>
      <c r="O366" s="705"/>
    </row>
    <row r="367" spans="1:15" s="944" customFormat="1" ht="12.75">
      <c r="A367" s="1025"/>
      <c r="B367" s="1026"/>
      <c r="C367" s="1005"/>
      <c r="D367" s="1005"/>
      <c r="E367" s="916" t="s">
        <v>53</v>
      </c>
      <c r="F367" s="916"/>
      <c r="G367" s="917"/>
      <c r="H367" s="917"/>
      <c r="I367" s="917"/>
      <c r="J367" s="942">
        <f>SUM(J356:J366)</f>
        <v>27665.701520730996</v>
      </c>
      <c r="K367" s="998">
        <f>J367+K353</f>
        <v>420779.9815231682</v>
      </c>
      <c r="L367" s="1048"/>
      <c r="M367" s="568">
        <v>0.65</v>
      </c>
      <c r="N367" s="1028"/>
      <c r="O367" s="1029"/>
    </row>
    <row r="368" spans="1:15" s="944" customFormat="1" ht="12.75">
      <c r="A368" s="1049"/>
      <c r="B368" s="1050"/>
      <c r="C368" s="1051"/>
      <c r="D368" s="1051"/>
      <c r="E368" s="1052"/>
      <c r="F368" s="1052"/>
      <c r="G368" s="994"/>
      <c r="H368" s="994"/>
      <c r="I368" s="994"/>
      <c r="J368" s="1053"/>
      <c r="K368" s="1047"/>
      <c r="L368" s="1048"/>
      <c r="M368" s="568"/>
      <c r="N368" s="1028"/>
      <c r="O368" s="1029"/>
    </row>
    <row r="369" spans="1:16" ht="12.75">
      <c r="A369" s="913">
        <v>9</v>
      </c>
      <c r="B369" s="914"/>
      <c r="C369" s="915"/>
      <c r="D369" s="915"/>
      <c r="E369" s="916" t="s">
        <v>89</v>
      </c>
      <c r="F369" s="915"/>
      <c r="G369" s="917"/>
      <c r="H369" s="917"/>
      <c r="I369" s="917"/>
      <c r="J369" s="961"/>
      <c r="K369" s="962"/>
      <c r="L369" s="522"/>
      <c r="M369" s="568">
        <v>0.65</v>
      </c>
      <c r="N369" s="522"/>
      <c r="O369" s="522"/>
      <c r="P369" s="522"/>
    </row>
    <row r="370" spans="1:16" ht="12.75">
      <c r="A370" s="949" t="s">
        <v>76</v>
      </c>
      <c r="B370" s="956"/>
      <c r="C370" s="957" t="s">
        <v>17</v>
      </c>
      <c r="D370" s="957" t="s">
        <v>91</v>
      </c>
      <c r="E370" s="963" t="s">
        <v>92</v>
      </c>
      <c r="F370" s="957" t="s">
        <v>19</v>
      </c>
      <c r="G370" s="930">
        <v>368.26</v>
      </c>
      <c r="H370" s="930">
        <f>N370*M370</f>
        <v>3.1330000000000005</v>
      </c>
      <c r="I370" s="930">
        <f>(H370*$K$10)+H370</f>
        <v>3.8492038000000006</v>
      </c>
      <c r="J370" s="931">
        <f>I370*G370</f>
        <v>1417.5077913880002</v>
      </c>
      <c r="K370" s="968"/>
      <c r="L370" s="522"/>
      <c r="M370" s="568">
        <v>0.65</v>
      </c>
      <c r="N370" s="569">
        <v>4.82</v>
      </c>
      <c r="O370" s="522"/>
      <c r="P370" s="522"/>
    </row>
    <row r="371" spans="1:13" s="944" customFormat="1" ht="15" customHeight="1">
      <c r="A371" s="913"/>
      <c r="B371" s="914"/>
      <c r="C371" s="915"/>
      <c r="D371" s="915"/>
      <c r="E371" s="916" t="s">
        <v>53</v>
      </c>
      <c r="F371" s="916"/>
      <c r="G371" s="1054"/>
      <c r="H371" s="1054"/>
      <c r="I371" s="917"/>
      <c r="J371" s="942">
        <f>SUM(J370)</f>
        <v>1417.5077913880002</v>
      </c>
      <c r="K371" s="998">
        <f>K367+J371</f>
        <v>422197.48931455624</v>
      </c>
      <c r="M371" s="568">
        <v>0.65</v>
      </c>
    </row>
    <row r="372" spans="1:16" ht="13.5" customHeight="1" thickBot="1">
      <c r="A372" s="1055"/>
      <c r="B372" s="1056"/>
      <c r="C372" s="1056"/>
      <c r="D372" s="1056"/>
      <c r="E372" s="1056"/>
      <c r="F372" s="1056"/>
      <c r="G372" s="1056"/>
      <c r="H372" s="1056"/>
      <c r="I372" s="1056"/>
      <c r="J372" s="1056"/>
      <c r="K372" s="1057"/>
      <c r="L372" s="522"/>
      <c r="M372" s="568">
        <v>0.65</v>
      </c>
      <c r="N372" s="522"/>
      <c r="O372" s="522"/>
      <c r="P372" s="522"/>
    </row>
    <row r="373" spans="1:16" ht="11.25">
      <c r="A373" s="1058" t="s">
        <v>416</v>
      </c>
      <c r="B373" s="1059"/>
      <c r="C373" s="1059"/>
      <c r="D373" s="1059"/>
      <c r="E373" s="1059"/>
      <c r="F373" s="1059"/>
      <c r="G373" s="1059"/>
      <c r="H373" s="1059"/>
      <c r="I373" s="1060"/>
      <c r="J373" s="1061">
        <f>K371</f>
        <v>422197.48931455624</v>
      </c>
      <c r="K373" s="1062"/>
      <c r="L373" s="522"/>
      <c r="M373" s="568">
        <v>0.65</v>
      </c>
      <c r="N373" s="522"/>
      <c r="O373" s="522"/>
      <c r="P373" s="522"/>
    </row>
    <row r="374" spans="1:16" ht="12" thickBot="1">
      <c r="A374" s="1063"/>
      <c r="B374" s="1064"/>
      <c r="C374" s="1064"/>
      <c r="D374" s="1064"/>
      <c r="E374" s="1064"/>
      <c r="F374" s="1064"/>
      <c r="G374" s="1064"/>
      <c r="H374" s="1064"/>
      <c r="I374" s="1065"/>
      <c r="J374" s="1066"/>
      <c r="K374" s="1067"/>
      <c r="L374" s="522"/>
      <c r="M374" s="568">
        <v>0.65</v>
      </c>
      <c r="N374" s="522"/>
      <c r="O374" s="522"/>
      <c r="P374" s="522"/>
    </row>
    <row r="375" spans="1:16" ht="12.75" customHeight="1" thickBot="1">
      <c r="A375" s="1068"/>
      <c r="B375" s="1069"/>
      <c r="C375" s="1069"/>
      <c r="D375" s="1069"/>
      <c r="E375" s="1069"/>
      <c r="F375" s="1069"/>
      <c r="G375" s="1069"/>
      <c r="H375" s="1069"/>
      <c r="I375" s="1069"/>
      <c r="J375" s="1069"/>
      <c r="K375" s="1070"/>
      <c r="L375" s="522"/>
      <c r="M375" s="568">
        <v>0.65</v>
      </c>
      <c r="N375" s="522"/>
      <c r="O375" s="522"/>
      <c r="P375" s="522"/>
    </row>
    <row r="376" spans="1:15" ht="27.75" customHeight="1" thickBot="1">
      <c r="A376" s="1071" t="s">
        <v>417</v>
      </c>
      <c r="B376" s="1072"/>
      <c r="C376" s="1072"/>
      <c r="D376" s="1072"/>
      <c r="E376" s="1072"/>
      <c r="F376" s="1072"/>
      <c r="G376" s="1072"/>
      <c r="H376" s="1072"/>
      <c r="I376" s="1073"/>
      <c r="J376" s="1074">
        <f>J149+J273+J373</f>
        <v>1993833.068730665</v>
      </c>
      <c r="K376" s="1075"/>
      <c r="L376" s="705"/>
      <c r="M376" s="568">
        <v>0.65</v>
      </c>
      <c r="N376" s="705"/>
      <c r="O376" s="705"/>
    </row>
    <row r="377" spans="1:15" ht="12.75">
      <c r="A377" s="1076"/>
      <c r="B377" s="1077"/>
      <c r="C377" s="1077"/>
      <c r="D377" s="1077"/>
      <c r="E377" s="1077"/>
      <c r="F377" s="1077"/>
      <c r="G377" s="1077"/>
      <c r="H377" s="1078"/>
      <c r="I377" s="1077"/>
      <c r="K377" s="1079"/>
      <c r="L377" s="705"/>
      <c r="M377" s="705"/>
      <c r="N377" s="705"/>
      <c r="O377" s="705"/>
    </row>
    <row r="378" spans="1:15" ht="12.75">
      <c r="A378" s="1076"/>
      <c r="B378" s="1080"/>
      <c r="C378" s="1081"/>
      <c r="D378" s="1081"/>
      <c r="E378" s="1077"/>
      <c r="F378" s="1077"/>
      <c r="G378" s="1077"/>
      <c r="H378" s="1078"/>
      <c r="I378" s="1077"/>
      <c r="K378" s="1082"/>
      <c r="L378" s="705"/>
      <c r="M378" s="705"/>
      <c r="N378" s="705"/>
      <c r="O378" s="705"/>
    </row>
    <row r="379" spans="1:15" ht="11.25">
      <c r="A379" s="1083"/>
      <c r="B379" s="1084"/>
      <c r="C379" s="1085"/>
      <c r="D379" s="1086"/>
      <c r="E379" s="1086"/>
      <c r="F379" s="1084"/>
      <c r="G379" s="1087"/>
      <c r="H379" s="1088"/>
      <c r="I379" s="1087"/>
      <c r="J379" s="1087"/>
      <c r="K379" s="1089"/>
      <c r="L379" s="705"/>
      <c r="M379" s="705"/>
      <c r="N379" s="705"/>
      <c r="O379" s="705"/>
    </row>
    <row r="380" spans="1:15" ht="12.75">
      <c r="A380" s="1090"/>
      <c r="B380" s="1091"/>
      <c r="D380" s="1092"/>
      <c r="E380" s="1092" t="s">
        <v>93</v>
      </c>
      <c r="F380" s="1091"/>
      <c r="G380" s="1093"/>
      <c r="H380" s="1094"/>
      <c r="I380" s="1093" t="s">
        <v>332</v>
      </c>
      <c r="J380" s="1093"/>
      <c r="K380" s="1095"/>
      <c r="L380" s="705"/>
      <c r="M380" s="705"/>
      <c r="N380" s="705"/>
      <c r="O380" s="705"/>
    </row>
    <row r="381" spans="1:15" ht="12.75">
      <c r="A381" s="1096"/>
      <c r="B381" s="1097"/>
      <c r="D381" s="1092"/>
      <c r="E381" s="1092" t="s">
        <v>94</v>
      </c>
      <c r="F381" s="1097"/>
      <c r="G381" s="1098"/>
      <c r="H381" s="1099"/>
      <c r="I381" s="1098" t="s">
        <v>333</v>
      </c>
      <c r="J381" s="1098"/>
      <c r="K381" s="1095"/>
      <c r="L381" s="705"/>
      <c r="M381" s="705"/>
      <c r="N381" s="705"/>
      <c r="O381" s="705"/>
    </row>
    <row r="382" spans="1:15" ht="13.5" thickBot="1">
      <c r="A382" s="1100"/>
      <c r="B382" s="1101"/>
      <c r="C382" s="1101"/>
      <c r="D382" s="1101"/>
      <c r="E382" s="1101"/>
      <c r="F382" s="1101"/>
      <c r="G382" s="1101"/>
      <c r="H382" s="1102"/>
      <c r="I382" s="1101"/>
      <c r="J382" s="1101"/>
      <c r="K382" s="1103"/>
      <c r="L382" s="705"/>
      <c r="M382" s="705"/>
      <c r="N382" s="705"/>
      <c r="O382" s="705"/>
    </row>
    <row r="383" spans="1:15" ht="11.25">
      <c r="A383" s="1084"/>
      <c r="B383" s="1084"/>
      <c r="C383" s="1085"/>
      <c r="D383" s="1085"/>
      <c r="E383" s="705"/>
      <c r="F383" s="1084"/>
      <c r="G383" s="1104"/>
      <c r="H383" s="1105"/>
      <c r="I383" s="1104"/>
      <c r="J383" s="705"/>
      <c r="K383" s="705"/>
      <c r="L383" s="705"/>
      <c r="M383" s="705"/>
      <c r="N383" s="705"/>
      <c r="O383" s="705"/>
    </row>
    <row r="384" spans="1:15" ht="11.25">
      <c r="A384" s="1084"/>
      <c r="B384" s="1084"/>
      <c r="C384" s="1085"/>
      <c r="D384" s="1085"/>
      <c r="E384" s="705"/>
      <c r="F384" s="1084"/>
      <c r="G384" s="1104"/>
      <c r="H384" s="1105"/>
      <c r="I384" s="1104"/>
      <c r="J384" s="705"/>
      <c r="K384" s="705"/>
      <c r="L384" s="705"/>
      <c r="M384" s="705"/>
      <c r="N384" s="705"/>
      <c r="O384" s="705"/>
    </row>
    <row r="385" spans="1:15" ht="12.75">
      <c r="A385" s="1084"/>
      <c r="B385" s="1084"/>
      <c r="C385" s="1085"/>
      <c r="D385" s="1085"/>
      <c r="E385" s="705"/>
      <c r="F385" s="1084"/>
      <c r="G385" s="1104"/>
      <c r="H385" s="1105"/>
      <c r="I385" s="1104"/>
      <c r="J385" s="705"/>
      <c r="K385" s="705"/>
      <c r="L385" s="705"/>
      <c r="M385" s="705"/>
      <c r="N385" s="705"/>
      <c r="O385" s="1106"/>
    </row>
  </sheetData>
  <sheetProtection password="995A" sheet="1"/>
  <mergeCells count="23">
    <mergeCell ref="A372:K372"/>
    <mergeCell ref="A373:I374"/>
    <mergeCell ref="J373:K374"/>
    <mergeCell ref="A375:K375"/>
    <mergeCell ref="A376:I376"/>
    <mergeCell ref="J376:K376"/>
    <mergeCell ref="A272:K272"/>
    <mergeCell ref="A273:I274"/>
    <mergeCell ref="J273:K274"/>
    <mergeCell ref="A11:K11"/>
    <mergeCell ref="A276:K276"/>
    <mergeCell ref="A277:K277"/>
    <mergeCell ref="A149:I149"/>
    <mergeCell ref="J149:K149"/>
    <mergeCell ref="A151:K151"/>
    <mergeCell ref="A152:K152"/>
    <mergeCell ref="C170:K170"/>
    <mergeCell ref="A2:K7"/>
    <mergeCell ref="A8:K8"/>
    <mergeCell ref="A12:K12"/>
    <mergeCell ref="A13:K13"/>
    <mergeCell ref="B10:I10"/>
    <mergeCell ref="B9:I9"/>
  </mergeCells>
  <printOptions horizontalCentered="1" verticalCentered="1"/>
  <pageMargins left="0.19652777777777777" right="0.19652777777777777" top="0.39375" bottom="0.39375" header="0.2361111111111111" footer="0.2361111111111111"/>
  <pageSetup fitToHeight="0" fitToWidth="1" horizontalDpi="600" verticalDpi="600" orientation="portrait" paperSize="9" scale="61" r:id="rId3"/>
  <headerFooter alignWithMargins="0">
    <oddHeader>&amp;C&amp;A</oddHeader>
    <oddFooter>&amp;CPágina &amp;P</oddFooter>
  </headerFooter>
  <rowBreaks count="1" manualBreakCount="1">
    <brk id="52" max="10" man="1"/>
  </rowBreaks>
  <legacyDrawing r:id="rId2"/>
  <oleObjects>
    <oleObject progId="" shapeId="14424026" r:id="rId1"/>
  </oleObjects>
</worksheet>
</file>

<file path=xl/worksheets/sheet2.xml><?xml version="1.0" encoding="utf-8"?>
<worksheet xmlns="http://schemas.openxmlformats.org/spreadsheetml/2006/main" xmlns:r="http://schemas.openxmlformats.org/officeDocument/2006/relationships">
  <sheetPr>
    <pageSetUpPr fitToPage="1"/>
  </sheetPr>
  <dimension ref="A1:IU309"/>
  <sheetViews>
    <sheetView view="pageBreakPreview" zoomScale="80" zoomScaleSheetLayoutView="80" zoomScalePageLayoutView="0" workbookViewId="0" topLeftCell="A140">
      <selection activeCell="A299" sqref="A299:J300"/>
    </sheetView>
  </sheetViews>
  <sheetFormatPr defaultColWidth="11.421875" defaultRowHeight="12.75"/>
  <cols>
    <col min="1" max="1" width="11.00390625" style="1" customWidth="1"/>
    <col min="2" max="2" width="1.8515625" style="1" hidden="1" customWidth="1"/>
    <col min="3" max="3" width="9.140625" style="2" customWidth="1"/>
    <col min="4" max="4" width="10.140625" style="2" customWidth="1"/>
    <col min="5" max="5" width="59.00390625" style="3" customWidth="1"/>
    <col min="6" max="6" width="9.00390625" style="1" bestFit="1" customWidth="1"/>
    <col min="7" max="7" width="11.421875" style="4" bestFit="1" customWidth="1"/>
    <col min="8" max="8" width="13.7109375" style="4" customWidth="1"/>
    <col min="9" max="9" width="17.140625" style="3" bestFit="1" customWidth="1"/>
    <col min="10" max="10" width="16.140625" style="3" bestFit="1" customWidth="1"/>
    <col min="11" max="11" width="10.7109375" style="75" bestFit="1" customWidth="1"/>
    <col min="12" max="12" width="7.421875" style="3" bestFit="1" customWidth="1"/>
    <col min="13" max="16384" width="11.421875" style="3" customWidth="1"/>
  </cols>
  <sheetData>
    <row r="1" spans="1:10" ht="14.25" customHeight="1">
      <c r="A1" s="329" t="s">
        <v>335</v>
      </c>
      <c r="B1" s="330"/>
      <c r="C1" s="330"/>
      <c r="D1" s="330"/>
      <c r="E1" s="330"/>
      <c r="F1" s="330"/>
      <c r="G1" s="330"/>
      <c r="H1" s="330"/>
      <c r="I1" s="330"/>
      <c r="J1" s="331"/>
    </row>
    <row r="2" spans="1:10" ht="11.25">
      <c r="A2" s="332"/>
      <c r="B2" s="333"/>
      <c r="C2" s="333"/>
      <c r="D2" s="333"/>
      <c r="E2" s="333"/>
      <c r="F2" s="333"/>
      <c r="G2" s="333"/>
      <c r="H2" s="333"/>
      <c r="I2" s="333"/>
      <c r="J2" s="334"/>
    </row>
    <row r="3" spans="1:10" ht="11.25">
      <c r="A3" s="332"/>
      <c r="B3" s="333"/>
      <c r="C3" s="333"/>
      <c r="D3" s="333"/>
      <c r="E3" s="333"/>
      <c r="F3" s="333"/>
      <c r="G3" s="333"/>
      <c r="H3" s="333"/>
      <c r="I3" s="333"/>
      <c r="J3" s="334"/>
    </row>
    <row r="4" spans="1:10" ht="11.25">
      <c r="A4" s="332"/>
      <c r="B4" s="333"/>
      <c r="C4" s="333"/>
      <c r="D4" s="333"/>
      <c r="E4" s="333"/>
      <c r="F4" s="333"/>
      <c r="G4" s="333"/>
      <c r="H4" s="333"/>
      <c r="I4" s="333"/>
      <c r="J4" s="334"/>
    </row>
    <row r="5" spans="1:10" ht="11.25">
      <c r="A5" s="332"/>
      <c r="B5" s="333"/>
      <c r="C5" s="333"/>
      <c r="D5" s="333"/>
      <c r="E5" s="333"/>
      <c r="F5" s="333"/>
      <c r="G5" s="333"/>
      <c r="H5" s="333"/>
      <c r="I5" s="333"/>
      <c r="J5" s="334"/>
    </row>
    <row r="6" spans="1:10" ht="12" thickBot="1">
      <c r="A6" s="335"/>
      <c r="B6" s="336"/>
      <c r="C6" s="336"/>
      <c r="D6" s="336"/>
      <c r="E6" s="336"/>
      <c r="F6" s="336"/>
      <c r="G6" s="336"/>
      <c r="H6" s="336"/>
      <c r="I6" s="336"/>
      <c r="J6" s="337"/>
    </row>
    <row r="7" spans="1:10" ht="45.75" customHeight="1" thickBot="1">
      <c r="A7" s="338" t="s">
        <v>189</v>
      </c>
      <c r="B7" s="339"/>
      <c r="C7" s="339"/>
      <c r="D7" s="339"/>
      <c r="E7" s="339"/>
      <c r="F7" s="339"/>
      <c r="G7" s="339"/>
      <c r="H7" s="339"/>
      <c r="I7" s="339"/>
      <c r="J7" s="340"/>
    </row>
    <row r="8" spans="1:15" ht="12.75" customHeight="1">
      <c r="A8" s="42" t="s">
        <v>0</v>
      </c>
      <c r="B8" s="350" t="s">
        <v>1</v>
      </c>
      <c r="C8" s="351"/>
      <c r="D8" s="351"/>
      <c r="E8" s="351"/>
      <c r="F8" s="351"/>
      <c r="G8" s="351"/>
      <c r="H8" s="352"/>
      <c r="I8" s="43" t="s">
        <v>2</v>
      </c>
      <c r="J8" s="44">
        <f ca="1">TODAY()</f>
        <v>44411</v>
      </c>
      <c r="L8" s="33"/>
      <c r="M8" s="33"/>
      <c r="N8" s="33"/>
      <c r="O8" s="33"/>
    </row>
    <row r="9" spans="1:15" ht="26.25" thickBot="1">
      <c r="A9" s="45" t="s">
        <v>3</v>
      </c>
      <c r="B9" s="347" t="s">
        <v>334</v>
      </c>
      <c r="C9" s="348"/>
      <c r="D9" s="348"/>
      <c r="E9" s="348"/>
      <c r="F9" s="348"/>
      <c r="G9" s="348"/>
      <c r="H9" s="349"/>
      <c r="I9" s="46" t="s">
        <v>4</v>
      </c>
      <c r="J9" s="47">
        <v>0.2286</v>
      </c>
      <c r="L9" s="33"/>
      <c r="M9" s="33"/>
      <c r="N9" s="33"/>
      <c r="O9" s="33"/>
    </row>
    <row r="10" spans="1:15" ht="24" thickBot="1">
      <c r="A10" s="357" t="s">
        <v>425</v>
      </c>
      <c r="B10" s="358"/>
      <c r="C10" s="358"/>
      <c r="D10" s="358"/>
      <c r="E10" s="358"/>
      <c r="F10" s="358"/>
      <c r="G10" s="358"/>
      <c r="H10" s="358"/>
      <c r="I10" s="358"/>
      <c r="J10" s="359"/>
      <c r="L10" s="33"/>
      <c r="M10" s="33"/>
      <c r="N10" s="33"/>
      <c r="O10" s="33"/>
    </row>
    <row r="11" spans="1:15" ht="24" thickBot="1">
      <c r="A11" s="341" t="s">
        <v>331</v>
      </c>
      <c r="B11" s="342"/>
      <c r="C11" s="342"/>
      <c r="D11" s="342"/>
      <c r="E11" s="342"/>
      <c r="F11" s="342"/>
      <c r="G11" s="342"/>
      <c r="H11" s="342"/>
      <c r="I11" s="342"/>
      <c r="J11" s="343"/>
      <c r="L11" s="34"/>
      <c r="M11" s="33"/>
      <c r="N11" s="33"/>
      <c r="O11" s="33"/>
    </row>
    <row r="12" spans="1:15" s="5" customFormat="1" ht="15.75" thickBot="1">
      <c r="A12" s="344"/>
      <c r="B12" s="345"/>
      <c r="C12" s="345"/>
      <c r="D12" s="345"/>
      <c r="E12" s="345"/>
      <c r="F12" s="345"/>
      <c r="G12" s="345"/>
      <c r="H12" s="345"/>
      <c r="I12" s="345"/>
      <c r="J12" s="346"/>
      <c r="K12" s="199"/>
      <c r="L12" s="35"/>
      <c r="M12" s="35"/>
      <c r="N12" s="35"/>
      <c r="O12" s="35"/>
    </row>
    <row r="13" spans="1:15" ht="12.75">
      <c r="A13" s="77" t="s">
        <v>5</v>
      </c>
      <c r="B13" s="78"/>
      <c r="C13" s="79" t="s">
        <v>6</v>
      </c>
      <c r="D13" s="79" t="s">
        <v>7</v>
      </c>
      <c r="E13" s="80" t="s">
        <v>8</v>
      </c>
      <c r="F13" s="80" t="s">
        <v>9</v>
      </c>
      <c r="G13" s="81" t="s">
        <v>10</v>
      </c>
      <c r="H13" s="461"/>
      <c r="I13" s="461"/>
      <c r="J13" s="462"/>
      <c r="L13" s="36"/>
      <c r="M13" s="33"/>
      <c r="N13" s="33"/>
      <c r="O13" s="33"/>
    </row>
    <row r="14" spans="1:15" ht="11.25">
      <c r="A14" s="91"/>
      <c r="B14" s="92"/>
      <c r="C14" s="93"/>
      <c r="D14" s="93"/>
      <c r="E14" s="94"/>
      <c r="F14" s="94"/>
      <c r="G14" s="95"/>
      <c r="H14" s="463"/>
      <c r="I14" s="463"/>
      <c r="J14" s="464"/>
      <c r="L14" s="33"/>
      <c r="M14" s="33"/>
      <c r="N14" s="33"/>
      <c r="O14" s="33"/>
    </row>
    <row r="15" spans="1:15" ht="12.75">
      <c r="A15" s="260">
        <v>1</v>
      </c>
      <c r="B15" s="261"/>
      <c r="C15" s="262"/>
      <c r="D15" s="262"/>
      <c r="E15" s="278" t="s">
        <v>15</v>
      </c>
      <c r="F15" s="278"/>
      <c r="G15" s="279"/>
      <c r="H15" s="465"/>
      <c r="I15" s="465"/>
      <c r="J15" s="466"/>
      <c r="L15" s="33"/>
      <c r="M15" s="33"/>
      <c r="N15" s="33"/>
      <c r="O15" s="33"/>
    </row>
    <row r="16" spans="1:15" ht="76.5">
      <c r="A16" s="97" t="s">
        <v>16</v>
      </c>
      <c r="B16" s="86"/>
      <c r="C16" s="96" t="s">
        <v>17</v>
      </c>
      <c r="D16" s="96" t="s">
        <v>18</v>
      </c>
      <c r="E16" s="98" t="s">
        <v>190</v>
      </c>
      <c r="F16" s="96" t="s">
        <v>218</v>
      </c>
      <c r="G16" s="82">
        <v>4.5</v>
      </c>
      <c r="H16" s="387" t="s">
        <v>437</v>
      </c>
      <c r="I16" s="388"/>
      <c r="J16" s="389"/>
      <c r="L16" s="37"/>
      <c r="M16" s="38"/>
      <c r="N16" s="33"/>
      <c r="O16" s="33"/>
    </row>
    <row r="17" spans="1:15" ht="12.75" customHeight="1">
      <c r="A17" s="97" t="s">
        <v>20</v>
      </c>
      <c r="B17" s="99"/>
      <c r="C17" s="96" t="s">
        <v>17</v>
      </c>
      <c r="D17" s="100" t="s">
        <v>21</v>
      </c>
      <c r="E17" s="101" t="s">
        <v>22</v>
      </c>
      <c r="F17" s="96" t="s">
        <v>218</v>
      </c>
      <c r="G17" s="82">
        <v>2088.47</v>
      </c>
      <c r="H17" s="373" t="s">
        <v>431</v>
      </c>
      <c r="I17" s="374"/>
      <c r="J17" s="375"/>
      <c r="L17" s="37"/>
      <c r="M17" s="38"/>
      <c r="N17" s="33"/>
      <c r="O17" s="33"/>
    </row>
    <row r="18" spans="1:15" ht="25.5" customHeight="1">
      <c r="A18" s="97" t="s">
        <v>191</v>
      </c>
      <c r="B18" s="99"/>
      <c r="C18" s="96" t="s">
        <v>17</v>
      </c>
      <c r="D18" s="100" t="s">
        <v>194</v>
      </c>
      <c r="E18" s="101" t="s">
        <v>195</v>
      </c>
      <c r="F18" s="96" t="s">
        <v>218</v>
      </c>
      <c r="G18" s="82">
        <v>24.14</v>
      </c>
      <c r="H18" s="373" t="s">
        <v>438</v>
      </c>
      <c r="I18" s="374"/>
      <c r="J18" s="375"/>
      <c r="L18" s="37"/>
      <c r="M18" s="38"/>
      <c r="N18" s="33"/>
      <c r="O18" s="33"/>
    </row>
    <row r="19" spans="1:15" ht="25.5" customHeight="1">
      <c r="A19" s="97" t="s">
        <v>192</v>
      </c>
      <c r="B19" s="99"/>
      <c r="C19" s="96" t="s">
        <v>17</v>
      </c>
      <c r="D19" s="100" t="s">
        <v>196</v>
      </c>
      <c r="E19" s="101" t="s">
        <v>197</v>
      </c>
      <c r="F19" s="96" t="s">
        <v>218</v>
      </c>
      <c r="G19" s="82">
        <f>(8.6*3.9)+((4*3.9)*3)+(1*3.9)+(8.33*3.9)</f>
        <v>116.727</v>
      </c>
      <c r="H19" s="373" t="s">
        <v>460</v>
      </c>
      <c r="I19" s="374"/>
      <c r="J19" s="375"/>
      <c r="L19" s="37"/>
      <c r="M19" s="38"/>
      <c r="N19" s="33"/>
      <c r="O19" s="33"/>
    </row>
    <row r="20" spans="1:15" ht="25.5" customHeight="1">
      <c r="A20" s="97" t="s">
        <v>193</v>
      </c>
      <c r="B20" s="99"/>
      <c r="C20" s="96" t="s">
        <v>17</v>
      </c>
      <c r="D20" s="100" t="s">
        <v>200</v>
      </c>
      <c r="E20" s="101" t="s">
        <v>199</v>
      </c>
      <c r="F20" s="96" t="s">
        <v>218</v>
      </c>
      <c r="G20" s="82">
        <v>197</v>
      </c>
      <c r="H20" s="373" t="s">
        <v>438</v>
      </c>
      <c r="I20" s="374"/>
      <c r="J20" s="375"/>
      <c r="L20" s="37"/>
      <c r="M20" s="38"/>
      <c r="N20" s="33"/>
      <c r="O20" s="33"/>
    </row>
    <row r="21" spans="1:15" ht="12.75">
      <c r="A21" s="107">
        <v>2</v>
      </c>
      <c r="B21" s="108"/>
      <c r="C21" s="109"/>
      <c r="D21" s="109"/>
      <c r="E21" s="440" t="s">
        <v>24</v>
      </c>
      <c r="F21" s="441"/>
      <c r="G21" s="441"/>
      <c r="H21" s="441"/>
      <c r="I21" s="441"/>
      <c r="J21" s="442"/>
      <c r="L21" s="37"/>
      <c r="M21" s="33"/>
      <c r="N21" s="33"/>
      <c r="O21" s="33"/>
    </row>
    <row r="22" spans="1:15" ht="12.75">
      <c r="A22" s="107" t="s">
        <v>25</v>
      </c>
      <c r="B22" s="108"/>
      <c r="C22" s="109"/>
      <c r="D22" s="109"/>
      <c r="E22" s="440" t="s">
        <v>26</v>
      </c>
      <c r="F22" s="441"/>
      <c r="G22" s="441"/>
      <c r="H22" s="441"/>
      <c r="I22" s="441"/>
      <c r="J22" s="442"/>
      <c r="L22" s="37"/>
      <c r="M22" s="33"/>
      <c r="N22" s="33"/>
      <c r="O22" s="33"/>
    </row>
    <row r="23" spans="1:15" ht="12.75">
      <c r="A23" s="209" t="s">
        <v>27</v>
      </c>
      <c r="B23" s="213"/>
      <c r="C23" s="219" t="s">
        <v>17</v>
      </c>
      <c r="D23" s="212" t="s">
        <v>28</v>
      </c>
      <c r="E23" s="214" t="s">
        <v>29</v>
      </c>
      <c r="F23" s="212" t="s">
        <v>214</v>
      </c>
      <c r="G23" s="207">
        <v>167.3</v>
      </c>
      <c r="H23" s="437" t="s">
        <v>142</v>
      </c>
      <c r="I23" s="438"/>
      <c r="J23" s="439"/>
      <c r="K23" s="202"/>
      <c r="L23" s="37"/>
      <c r="M23" s="38"/>
      <c r="N23" s="33"/>
      <c r="O23" s="33"/>
    </row>
    <row r="24" spans="1:15" ht="38.25">
      <c r="A24" s="209" t="s">
        <v>31</v>
      </c>
      <c r="B24" s="213"/>
      <c r="C24" s="205" t="s">
        <v>17</v>
      </c>
      <c r="D24" s="215" t="s">
        <v>201</v>
      </c>
      <c r="E24" s="216" t="s">
        <v>202</v>
      </c>
      <c r="F24" s="212" t="s">
        <v>214</v>
      </c>
      <c r="G24" s="207">
        <v>167.3</v>
      </c>
      <c r="H24" s="434" t="s">
        <v>142</v>
      </c>
      <c r="I24" s="435"/>
      <c r="J24" s="436"/>
      <c r="K24" s="202" t="s">
        <v>286</v>
      </c>
      <c r="L24" s="37"/>
      <c r="M24" s="38"/>
      <c r="N24" s="33"/>
      <c r="O24" s="33"/>
    </row>
    <row r="25" spans="1:15" ht="25.5">
      <c r="A25" s="209" t="s">
        <v>35</v>
      </c>
      <c r="B25" s="210"/>
      <c r="C25" s="219" t="s">
        <v>17</v>
      </c>
      <c r="D25" s="217" t="s">
        <v>203</v>
      </c>
      <c r="E25" s="218" t="s">
        <v>204</v>
      </c>
      <c r="F25" s="212" t="s">
        <v>214</v>
      </c>
      <c r="G25" s="207">
        <v>23.5</v>
      </c>
      <c r="H25" s="431" t="s">
        <v>142</v>
      </c>
      <c r="I25" s="432"/>
      <c r="J25" s="433"/>
      <c r="K25" s="202"/>
      <c r="L25" s="37"/>
      <c r="M25" s="38"/>
      <c r="N25" s="33"/>
      <c r="O25" s="39"/>
    </row>
    <row r="26" spans="1:15" ht="25.5">
      <c r="A26" s="209" t="s">
        <v>205</v>
      </c>
      <c r="B26" s="213"/>
      <c r="C26" s="219" t="s">
        <v>17</v>
      </c>
      <c r="D26" s="212" t="s">
        <v>32</v>
      </c>
      <c r="E26" s="214" t="s">
        <v>33</v>
      </c>
      <c r="F26" s="212" t="s">
        <v>329</v>
      </c>
      <c r="G26" s="207">
        <v>1864.9</v>
      </c>
      <c r="H26" s="387" t="s">
        <v>142</v>
      </c>
      <c r="I26" s="388"/>
      <c r="J26" s="389"/>
      <c r="L26" s="37"/>
      <c r="M26" s="38"/>
      <c r="N26" s="33"/>
      <c r="O26" s="33"/>
    </row>
    <row r="27" spans="1:15" ht="38.25">
      <c r="A27" s="209" t="s">
        <v>206</v>
      </c>
      <c r="B27" s="210"/>
      <c r="C27" s="219" t="s">
        <v>17</v>
      </c>
      <c r="D27" s="219" t="s">
        <v>36</v>
      </c>
      <c r="E27" s="208" t="s">
        <v>37</v>
      </c>
      <c r="F27" s="212" t="s">
        <v>214</v>
      </c>
      <c r="G27" s="207">
        <v>167.3</v>
      </c>
      <c r="H27" s="387" t="s">
        <v>142</v>
      </c>
      <c r="I27" s="388"/>
      <c r="J27" s="389"/>
      <c r="L27" s="37"/>
      <c r="M27" s="38"/>
      <c r="N27" s="33"/>
      <c r="O27" s="39"/>
    </row>
    <row r="28" spans="1:15" ht="25.5">
      <c r="A28" s="209" t="s">
        <v>480</v>
      </c>
      <c r="B28" s="210"/>
      <c r="C28" s="219" t="s">
        <v>17</v>
      </c>
      <c r="D28" s="205" t="s">
        <v>281</v>
      </c>
      <c r="E28" s="220" t="s">
        <v>282</v>
      </c>
      <c r="F28" s="212" t="s">
        <v>218</v>
      </c>
      <c r="G28" s="207">
        <v>27.14</v>
      </c>
      <c r="H28" s="387" t="s">
        <v>142</v>
      </c>
      <c r="I28" s="388"/>
      <c r="J28" s="389"/>
      <c r="L28" s="37"/>
      <c r="M28" s="38"/>
      <c r="N28" s="33"/>
      <c r="O28" s="39"/>
    </row>
    <row r="29" spans="1:15" ht="12.75">
      <c r="A29" s="110" t="s">
        <v>38</v>
      </c>
      <c r="B29" s="111"/>
      <c r="C29" s="112"/>
      <c r="D29" s="112"/>
      <c r="E29" s="449" t="s">
        <v>39</v>
      </c>
      <c r="F29" s="450"/>
      <c r="G29" s="450"/>
      <c r="H29" s="450"/>
      <c r="I29" s="450"/>
      <c r="J29" s="451"/>
      <c r="L29" s="37"/>
      <c r="M29" s="33"/>
      <c r="N29" s="33"/>
      <c r="O29" s="33"/>
    </row>
    <row r="30" spans="1:15" ht="51">
      <c r="A30" s="209" t="s">
        <v>40</v>
      </c>
      <c r="B30" s="213"/>
      <c r="C30" s="212" t="s">
        <v>41</v>
      </c>
      <c r="D30" s="212">
        <v>92441</v>
      </c>
      <c r="E30" s="208" t="s">
        <v>42</v>
      </c>
      <c r="F30" s="212" t="s">
        <v>218</v>
      </c>
      <c r="G30" s="207">
        <v>151.9</v>
      </c>
      <c r="H30" s="387" t="s">
        <v>142</v>
      </c>
      <c r="I30" s="388"/>
      <c r="J30" s="389"/>
      <c r="L30" s="37"/>
      <c r="M30" s="38"/>
      <c r="N30" s="33"/>
      <c r="O30" s="33"/>
    </row>
    <row r="31" spans="1:15" ht="25.5">
      <c r="A31" s="209" t="s">
        <v>43</v>
      </c>
      <c r="B31" s="213"/>
      <c r="C31" s="212" t="s">
        <v>17</v>
      </c>
      <c r="D31" s="212" t="s">
        <v>32</v>
      </c>
      <c r="E31" s="214" t="s">
        <v>33</v>
      </c>
      <c r="F31" s="212" t="s">
        <v>329</v>
      </c>
      <c r="G31" s="207">
        <v>1831.74</v>
      </c>
      <c r="H31" s="387" t="s">
        <v>142</v>
      </c>
      <c r="I31" s="388"/>
      <c r="J31" s="389"/>
      <c r="L31" s="37"/>
      <c r="M31" s="38"/>
      <c r="N31" s="33"/>
      <c r="O31" s="33"/>
    </row>
    <row r="32" spans="1:15" ht="38.25">
      <c r="A32" s="209" t="s">
        <v>44</v>
      </c>
      <c r="B32" s="210"/>
      <c r="C32" s="219" t="s">
        <v>17</v>
      </c>
      <c r="D32" s="219" t="s">
        <v>45</v>
      </c>
      <c r="E32" s="208" t="s">
        <v>37</v>
      </c>
      <c r="F32" s="212" t="s">
        <v>214</v>
      </c>
      <c r="G32" s="207">
        <v>10.65</v>
      </c>
      <c r="H32" s="387" t="s">
        <v>142</v>
      </c>
      <c r="I32" s="388"/>
      <c r="J32" s="389"/>
      <c r="L32" s="37"/>
      <c r="M32" s="38"/>
      <c r="N32" s="33"/>
      <c r="O32" s="33"/>
    </row>
    <row r="33" spans="1:15" ht="12.75">
      <c r="A33" s="110" t="s">
        <v>46</v>
      </c>
      <c r="B33" s="111"/>
      <c r="C33" s="112"/>
      <c r="D33" s="449" t="s">
        <v>47</v>
      </c>
      <c r="E33" s="450"/>
      <c r="F33" s="450"/>
      <c r="G33" s="450"/>
      <c r="H33" s="450"/>
      <c r="I33" s="450"/>
      <c r="J33" s="451"/>
      <c r="L33" s="37"/>
      <c r="M33" s="33"/>
      <c r="N33" s="33"/>
      <c r="O33" s="33"/>
    </row>
    <row r="34" spans="1:15" ht="39.75" customHeight="1">
      <c r="A34" s="209" t="s">
        <v>48</v>
      </c>
      <c r="B34" s="213"/>
      <c r="C34" s="212" t="s">
        <v>41</v>
      </c>
      <c r="D34" s="212">
        <v>92453</v>
      </c>
      <c r="E34" s="208" t="s">
        <v>49</v>
      </c>
      <c r="F34" s="212" t="s">
        <v>218</v>
      </c>
      <c r="G34" s="207">
        <v>303.7</v>
      </c>
      <c r="H34" s="387" t="s">
        <v>142</v>
      </c>
      <c r="I34" s="388"/>
      <c r="J34" s="389"/>
      <c r="L34" s="37"/>
      <c r="M34" s="38"/>
      <c r="N34" s="33"/>
      <c r="O34" s="33"/>
    </row>
    <row r="35" spans="1:255" s="6" customFormat="1" ht="25.5">
      <c r="A35" s="209" t="s">
        <v>50</v>
      </c>
      <c r="B35" s="213"/>
      <c r="C35" s="219" t="s">
        <v>17</v>
      </c>
      <c r="D35" s="212" t="s">
        <v>32</v>
      </c>
      <c r="E35" s="214" t="s">
        <v>33</v>
      </c>
      <c r="F35" s="212" t="s">
        <v>329</v>
      </c>
      <c r="G35" s="207">
        <v>2135.55</v>
      </c>
      <c r="H35" s="387" t="s">
        <v>142</v>
      </c>
      <c r="I35" s="388"/>
      <c r="J35" s="389"/>
      <c r="K35" s="75"/>
      <c r="L35" s="37"/>
      <c r="M35" s="38"/>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row>
    <row r="36" spans="1:255" ht="38.25">
      <c r="A36" s="209" t="s">
        <v>51</v>
      </c>
      <c r="B36" s="210"/>
      <c r="C36" s="219" t="s">
        <v>17</v>
      </c>
      <c r="D36" s="219" t="s">
        <v>45</v>
      </c>
      <c r="E36" s="208" t="s">
        <v>37</v>
      </c>
      <c r="F36" s="212" t="s">
        <v>214</v>
      </c>
      <c r="G36" s="207">
        <v>24.65</v>
      </c>
      <c r="H36" s="387" t="s">
        <v>142</v>
      </c>
      <c r="I36" s="388"/>
      <c r="J36" s="389"/>
      <c r="L36" s="37"/>
      <c r="M36" s="38"/>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row>
    <row r="37" spans="1:255" ht="12.75">
      <c r="A37" s="110" t="s">
        <v>143</v>
      </c>
      <c r="B37" s="111"/>
      <c r="C37" s="112"/>
      <c r="D37" s="449" t="s">
        <v>207</v>
      </c>
      <c r="E37" s="450"/>
      <c r="F37" s="450"/>
      <c r="G37" s="450"/>
      <c r="H37" s="450"/>
      <c r="I37" s="450"/>
      <c r="J37" s="451"/>
      <c r="L37" s="37"/>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row>
    <row r="38" spans="1:255" ht="38.25">
      <c r="A38" s="209" t="s">
        <v>144</v>
      </c>
      <c r="B38" s="213"/>
      <c r="C38" s="212" t="s">
        <v>41</v>
      </c>
      <c r="D38" s="212">
        <v>101969</v>
      </c>
      <c r="E38" s="221" t="s">
        <v>208</v>
      </c>
      <c r="F38" s="212" t="s">
        <v>218</v>
      </c>
      <c r="G38" s="207">
        <v>27.5</v>
      </c>
      <c r="H38" s="387" t="s">
        <v>142</v>
      </c>
      <c r="I38" s="388"/>
      <c r="J38" s="389"/>
      <c r="L38" s="37"/>
      <c r="M38" s="38"/>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row>
    <row r="39" spans="1:255" s="6" customFormat="1" ht="51">
      <c r="A39" s="209" t="s">
        <v>145</v>
      </c>
      <c r="B39" s="213"/>
      <c r="C39" s="212" t="s">
        <v>41</v>
      </c>
      <c r="D39" s="212">
        <v>101977</v>
      </c>
      <c r="E39" s="214" t="s">
        <v>209</v>
      </c>
      <c r="F39" s="212" t="s">
        <v>218</v>
      </c>
      <c r="G39" s="207">
        <v>27.5</v>
      </c>
      <c r="H39" s="387" t="s">
        <v>142</v>
      </c>
      <c r="I39" s="388"/>
      <c r="J39" s="389"/>
      <c r="K39" s="75"/>
      <c r="L39" s="37"/>
      <c r="M39" s="38"/>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row>
    <row r="40" spans="1:15" ht="38.25">
      <c r="A40" s="209" t="s">
        <v>146</v>
      </c>
      <c r="B40" s="204"/>
      <c r="C40" s="205" t="s">
        <v>41</v>
      </c>
      <c r="D40" s="205">
        <v>95969</v>
      </c>
      <c r="E40" s="211" t="s">
        <v>210</v>
      </c>
      <c r="F40" s="212" t="s">
        <v>214</v>
      </c>
      <c r="G40" s="207">
        <v>3</v>
      </c>
      <c r="H40" s="387" t="s">
        <v>142</v>
      </c>
      <c r="I40" s="388"/>
      <c r="J40" s="389"/>
      <c r="L40" s="37"/>
      <c r="M40" s="38"/>
      <c r="N40" s="33"/>
      <c r="O40" s="33"/>
    </row>
    <row r="41" spans="1:15" ht="25.5">
      <c r="A41" s="209" t="s">
        <v>211</v>
      </c>
      <c r="B41" s="204"/>
      <c r="C41" s="205" t="s">
        <v>17</v>
      </c>
      <c r="D41" s="205" t="s">
        <v>32</v>
      </c>
      <c r="E41" s="221" t="s">
        <v>33</v>
      </c>
      <c r="F41" s="212" t="s">
        <v>329</v>
      </c>
      <c r="G41" s="207">
        <v>226.6</v>
      </c>
      <c r="H41" s="387" t="s">
        <v>142</v>
      </c>
      <c r="I41" s="388"/>
      <c r="J41" s="389"/>
      <c r="L41" s="37"/>
      <c r="M41" s="38"/>
      <c r="N41" s="33"/>
      <c r="O41" s="33"/>
    </row>
    <row r="42" spans="1:15" ht="38.25">
      <c r="A42" s="209" t="s">
        <v>212</v>
      </c>
      <c r="B42" s="204"/>
      <c r="C42" s="205" t="s">
        <v>17</v>
      </c>
      <c r="D42" s="205" t="s">
        <v>45</v>
      </c>
      <c r="E42" s="221" t="s">
        <v>37</v>
      </c>
      <c r="F42" s="212" t="s">
        <v>214</v>
      </c>
      <c r="G42" s="207">
        <v>3</v>
      </c>
      <c r="H42" s="387" t="s">
        <v>142</v>
      </c>
      <c r="I42" s="388"/>
      <c r="J42" s="389"/>
      <c r="L42" s="37"/>
      <c r="M42" s="38"/>
      <c r="N42" s="33"/>
      <c r="O42" s="33"/>
    </row>
    <row r="43" spans="1:15" ht="12.75">
      <c r="A43" s="107">
        <v>3</v>
      </c>
      <c r="B43" s="85"/>
      <c r="C43" s="109"/>
      <c r="D43" s="440" t="s">
        <v>147</v>
      </c>
      <c r="E43" s="441"/>
      <c r="F43" s="441"/>
      <c r="G43" s="441"/>
      <c r="H43" s="441"/>
      <c r="I43" s="441"/>
      <c r="J43" s="442"/>
      <c r="L43" s="37"/>
      <c r="M43" s="38"/>
      <c r="N43" s="33"/>
      <c r="O43" s="33"/>
    </row>
    <row r="44" spans="1:15" ht="50.25" customHeight="1">
      <c r="A44" s="203" t="s">
        <v>52</v>
      </c>
      <c r="B44" s="247"/>
      <c r="C44" s="239" t="s">
        <v>17</v>
      </c>
      <c r="D44" s="225" t="s">
        <v>290</v>
      </c>
      <c r="E44" s="231" t="s">
        <v>289</v>
      </c>
      <c r="F44" s="239" t="s">
        <v>218</v>
      </c>
      <c r="G44" s="207">
        <v>660</v>
      </c>
      <c r="H44" s="387" t="s">
        <v>142</v>
      </c>
      <c r="I44" s="388"/>
      <c r="J44" s="389"/>
      <c r="L44" s="37"/>
      <c r="M44" s="38"/>
      <c r="N44" s="33"/>
      <c r="O44" s="33"/>
    </row>
    <row r="45" spans="1:15" ht="12.75">
      <c r="A45" s="107">
        <v>4</v>
      </c>
      <c r="B45" s="108"/>
      <c r="C45" s="109"/>
      <c r="D45" s="440" t="s">
        <v>215</v>
      </c>
      <c r="E45" s="441"/>
      <c r="F45" s="441"/>
      <c r="G45" s="441"/>
      <c r="H45" s="441"/>
      <c r="I45" s="441"/>
      <c r="J45" s="442"/>
      <c r="L45" s="37"/>
      <c r="M45" s="33"/>
      <c r="N45" s="33"/>
      <c r="O45" s="33"/>
    </row>
    <row r="46" spans="1:15" s="2" customFormat="1" ht="12.75">
      <c r="A46" s="203" t="s">
        <v>54</v>
      </c>
      <c r="B46" s="204"/>
      <c r="C46" s="205" t="s">
        <v>17</v>
      </c>
      <c r="D46" s="205" t="s">
        <v>216</v>
      </c>
      <c r="E46" s="206" t="s">
        <v>217</v>
      </c>
      <c r="F46" s="212" t="s">
        <v>218</v>
      </c>
      <c r="G46" s="207">
        <v>660</v>
      </c>
      <c r="H46" s="387" t="s">
        <v>421</v>
      </c>
      <c r="I46" s="388"/>
      <c r="J46" s="389"/>
      <c r="K46" s="200"/>
      <c r="L46" s="37"/>
      <c r="M46" s="48"/>
      <c r="N46" s="41"/>
      <c r="O46" s="41"/>
    </row>
    <row r="47" spans="1:15" s="2" customFormat="1" ht="25.5">
      <c r="A47" s="203" t="s">
        <v>148</v>
      </c>
      <c r="B47" s="204"/>
      <c r="C47" s="205" t="s">
        <v>17</v>
      </c>
      <c r="D47" s="205" t="s">
        <v>160</v>
      </c>
      <c r="E47" s="206" t="s">
        <v>262</v>
      </c>
      <c r="F47" s="212" t="s">
        <v>218</v>
      </c>
      <c r="G47" s="207">
        <v>660</v>
      </c>
      <c r="H47" s="387" t="s">
        <v>421</v>
      </c>
      <c r="I47" s="388"/>
      <c r="J47" s="389"/>
      <c r="K47" s="200"/>
      <c r="L47" s="37"/>
      <c r="M47" s="48"/>
      <c r="N47" s="41"/>
      <c r="O47" s="41"/>
    </row>
    <row r="48" spans="1:15" s="2" customFormat="1" ht="38.25">
      <c r="A48" s="203" t="s">
        <v>149</v>
      </c>
      <c r="B48" s="204"/>
      <c r="C48" s="205" t="s">
        <v>17</v>
      </c>
      <c r="D48" s="205" t="s">
        <v>224</v>
      </c>
      <c r="E48" s="206" t="s">
        <v>292</v>
      </c>
      <c r="F48" s="212" t="s">
        <v>218</v>
      </c>
      <c r="G48" s="207">
        <v>660</v>
      </c>
      <c r="H48" s="387" t="s">
        <v>421</v>
      </c>
      <c r="I48" s="388"/>
      <c r="J48" s="389"/>
      <c r="K48" s="200"/>
      <c r="L48" s="37"/>
      <c r="M48" s="48"/>
      <c r="N48" s="41"/>
      <c r="O48" s="41"/>
    </row>
    <row r="49" spans="1:15" ht="12.75">
      <c r="A49" s="107">
        <v>5</v>
      </c>
      <c r="B49" s="108"/>
      <c r="C49" s="109"/>
      <c r="D49" s="440" t="s">
        <v>56</v>
      </c>
      <c r="E49" s="441"/>
      <c r="F49" s="441"/>
      <c r="G49" s="441"/>
      <c r="H49" s="441"/>
      <c r="I49" s="441"/>
      <c r="J49" s="442"/>
      <c r="L49" s="37"/>
      <c r="M49" s="33"/>
      <c r="N49" s="33"/>
      <c r="O49" s="33"/>
    </row>
    <row r="50" spans="1:15" ht="38.25">
      <c r="A50" s="203" t="s">
        <v>57</v>
      </c>
      <c r="B50" s="210"/>
      <c r="C50" s="219" t="s">
        <v>17</v>
      </c>
      <c r="D50" s="219" t="s">
        <v>58</v>
      </c>
      <c r="E50" s="208" t="s">
        <v>59</v>
      </c>
      <c r="F50" s="212" t="s">
        <v>218</v>
      </c>
      <c r="G50" s="207">
        <v>37.89</v>
      </c>
      <c r="H50" s="387" t="s">
        <v>422</v>
      </c>
      <c r="I50" s="388"/>
      <c r="J50" s="389"/>
      <c r="L50" s="37"/>
      <c r="M50" s="38"/>
      <c r="N50" s="33"/>
      <c r="O50" s="33"/>
    </row>
    <row r="51" spans="1:15" ht="38.25">
      <c r="A51" s="203" t="s">
        <v>60</v>
      </c>
      <c r="B51" s="210"/>
      <c r="C51" s="205" t="s">
        <v>17</v>
      </c>
      <c r="D51" s="204" t="s">
        <v>234</v>
      </c>
      <c r="E51" s="220" t="s">
        <v>233</v>
      </c>
      <c r="F51" s="205" t="s">
        <v>328</v>
      </c>
      <c r="G51" s="207">
        <v>4</v>
      </c>
      <c r="H51" s="387">
        <v>4</v>
      </c>
      <c r="I51" s="388"/>
      <c r="J51" s="389"/>
      <c r="L51" s="37"/>
      <c r="M51" s="38"/>
      <c r="N51" s="33"/>
      <c r="O51" s="33"/>
    </row>
    <row r="52" spans="1:15" ht="12.75">
      <c r="A52" s="107">
        <v>6</v>
      </c>
      <c r="B52" s="108"/>
      <c r="C52" s="109"/>
      <c r="D52" s="440" t="s">
        <v>61</v>
      </c>
      <c r="E52" s="441"/>
      <c r="F52" s="441"/>
      <c r="G52" s="441"/>
      <c r="H52" s="441"/>
      <c r="I52" s="441"/>
      <c r="J52" s="442"/>
      <c r="L52" s="37"/>
      <c r="M52" s="33"/>
      <c r="N52" s="33"/>
      <c r="O52" s="33"/>
    </row>
    <row r="53" spans="1:15" ht="38.25">
      <c r="A53" s="203" t="s">
        <v>62</v>
      </c>
      <c r="B53" s="204"/>
      <c r="C53" s="205" t="s">
        <v>17</v>
      </c>
      <c r="D53" s="205" t="s">
        <v>63</v>
      </c>
      <c r="E53" s="206" t="s">
        <v>64</v>
      </c>
      <c r="F53" s="212" t="s">
        <v>218</v>
      </c>
      <c r="G53" s="224">
        <v>191.724</v>
      </c>
      <c r="H53" s="387" t="s">
        <v>418</v>
      </c>
      <c r="I53" s="388"/>
      <c r="J53" s="389"/>
      <c r="L53" s="37"/>
      <c r="M53" s="38"/>
      <c r="N53" s="33"/>
      <c r="O53" s="33"/>
    </row>
    <row r="54" spans="1:15" ht="38.25">
      <c r="A54" s="203" t="s">
        <v>158</v>
      </c>
      <c r="B54" s="204"/>
      <c r="C54" s="205" t="s">
        <v>17</v>
      </c>
      <c r="D54" s="205" t="s">
        <v>228</v>
      </c>
      <c r="E54" s="206" t="s">
        <v>227</v>
      </c>
      <c r="F54" s="212" t="s">
        <v>218</v>
      </c>
      <c r="G54" s="224">
        <v>272.205</v>
      </c>
      <c r="H54" s="387" t="s">
        <v>418</v>
      </c>
      <c r="I54" s="388"/>
      <c r="J54" s="389"/>
      <c r="L54" s="37"/>
      <c r="M54" s="38"/>
      <c r="N54" s="33"/>
      <c r="O54" s="33"/>
    </row>
    <row r="55" spans="1:15" ht="51">
      <c r="A55" s="203" t="s">
        <v>159</v>
      </c>
      <c r="B55" s="204"/>
      <c r="C55" s="205" t="s">
        <v>17</v>
      </c>
      <c r="D55" s="225" t="s">
        <v>229</v>
      </c>
      <c r="E55" s="222" t="s">
        <v>230</v>
      </c>
      <c r="F55" s="212" t="s">
        <v>218</v>
      </c>
      <c r="G55" s="224">
        <v>31.63</v>
      </c>
      <c r="H55" s="387" t="s">
        <v>418</v>
      </c>
      <c r="I55" s="388"/>
      <c r="J55" s="389"/>
      <c r="L55" s="37"/>
      <c r="M55" s="38"/>
      <c r="N55" s="33"/>
      <c r="O55" s="33"/>
    </row>
    <row r="56" spans="1:15" ht="51">
      <c r="A56" s="203" t="s">
        <v>162</v>
      </c>
      <c r="B56" s="204"/>
      <c r="C56" s="205" t="s">
        <v>17</v>
      </c>
      <c r="D56" s="226" t="s">
        <v>231</v>
      </c>
      <c r="E56" s="227" t="s">
        <v>232</v>
      </c>
      <c r="F56" s="212" t="s">
        <v>218</v>
      </c>
      <c r="G56" s="225">
        <v>26.87</v>
      </c>
      <c r="H56" s="387" t="s">
        <v>418</v>
      </c>
      <c r="I56" s="388"/>
      <c r="J56" s="389"/>
      <c r="L56" s="37"/>
      <c r="M56" s="38"/>
      <c r="N56" s="33"/>
      <c r="O56" s="33"/>
    </row>
    <row r="57" spans="1:15" ht="12.75">
      <c r="A57" s="107">
        <v>7</v>
      </c>
      <c r="B57" s="108"/>
      <c r="C57" s="109"/>
      <c r="D57" s="440" t="s">
        <v>67</v>
      </c>
      <c r="E57" s="441"/>
      <c r="F57" s="441"/>
      <c r="G57" s="441"/>
      <c r="H57" s="441"/>
      <c r="I57" s="441"/>
      <c r="J57" s="442"/>
      <c r="L57" s="37"/>
      <c r="M57" s="33"/>
      <c r="N57" s="33"/>
      <c r="O57" s="33"/>
    </row>
    <row r="58" spans="1:15" ht="38.25">
      <c r="A58" s="203" t="s">
        <v>65</v>
      </c>
      <c r="B58" s="204"/>
      <c r="C58" s="205" t="s">
        <v>17</v>
      </c>
      <c r="D58" s="219" t="s">
        <v>70</v>
      </c>
      <c r="E58" s="228" t="s">
        <v>71</v>
      </c>
      <c r="F58" s="212" t="s">
        <v>218</v>
      </c>
      <c r="G58" s="224">
        <v>1160.82</v>
      </c>
      <c r="H58" s="387" t="s">
        <v>418</v>
      </c>
      <c r="I58" s="388"/>
      <c r="J58" s="389"/>
      <c r="L58" s="37"/>
      <c r="M58" s="38"/>
      <c r="N58" s="33"/>
      <c r="O58" s="33"/>
    </row>
    <row r="59" spans="1:15" s="8" customFormat="1" ht="38.25">
      <c r="A59" s="203" t="s">
        <v>66</v>
      </c>
      <c r="B59" s="204"/>
      <c r="C59" s="205" t="s">
        <v>17</v>
      </c>
      <c r="D59" s="205" t="s">
        <v>73</v>
      </c>
      <c r="E59" s="206" t="s">
        <v>74</v>
      </c>
      <c r="F59" s="212" t="s">
        <v>218</v>
      </c>
      <c r="G59" s="224">
        <v>898.43</v>
      </c>
      <c r="H59" s="387" t="s">
        <v>418</v>
      </c>
      <c r="I59" s="388"/>
      <c r="J59" s="389"/>
      <c r="K59" s="201"/>
      <c r="L59" s="37"/>
      <c r="M59" s="38"/>
      <c r="N59" s="40"/>
      <c r="O59" s="40"/>
    </row>
    <row r="60" spans="1:15" s="8" customFormat="1" ht="25.5">
      <c r="A60" s="203" t="s">
        <v>163</v>
      </c>
      <c r="B60" s="204"/>
      <c r="C60" s="205" t="s">
        <v>17</v>
      </c>
      <c r="D60" s="229" t="s">
        <v>152</v>
      </c>
      <c r="E60" s="227" t="s">
        <v>153</v>
      </c>
      <c r="F60" s="212" t="s">
        <v>218</v>
      </c>
      <c r="G60" s="224">
        <v>224.56</v>
      </c>
      <c r="H60" s="387" t="s">
        <v>418</v>
      </c>
      <c r="I60" s="388"/>
      <c r="J60" s="389"/>
      <c r="K60" s="201"/>
      <c r="L60" s="37"/>
      <c r="M60" s="38"/>
      <c r="N60" s="40"/>
      <c r="O60" s="40"/>
    </row>
    <row r="61" spans="1:15" s="8" customFormat="1" ht="38.25">
      <c r="A61" s="203" t="s">
        <v>294</v>
      </c>
      <c r="B61" s="204"/>
      <c r="C61" s="205" t="s">
        <v>17</v>
      </c>
      <c r="D61" s="230" t="s">
        <v>157</v>
      </c>
      <c r="E61" s="231" t="s">
        <v>251</v>
      </c>
      <c r="F61" s="212" t="s">
        <v>218</v>
      </c>
      <c r="G61" s="224">
        <v>704.74</v>
      </c>
      <c r="H61" s="387" t="s">
        <v>418</v>
      </c>
      <c r="I61" s="388"/>
      <c r="J61" s="389"/>
      <c r="K61" s="201"/>
      <c r="L61" s="37"/>
      <c r="M61" s="38"/>
      <c r="N61" s="40"/>
      <c r="O61" s="40"/>
    </row>
    <row r="62" spans="1:15" s="8" customFormat="1" ht="63.75">
      <c r="A62" s="203" t="s">
        <v>295</v>
      </c>
      <c r="B62" s="204"/>
      <c r="C62" s="205" t="s">
        <v>17</v>
      </c>
      <c r="D62" s="230" t="s">
        <v>252</v>
      </c>
      <c r="E62" s="232" t="s">
        <v>253</v>
      </c>
      <c r="F62" s="212" t="s">
        <v>218</v>
      </c>
      <c r="G62" s="224">
        <v>738.7</v>
      </c>
      <c r="H62" s="387" t="s">
        <v>431</v>
      </c>
      <c r="I62" s="388"/>
      <c r="J62" s="389"/>
      <c r="K62" s="201"/>
      <c r="L62" s="37"/>
      <c r="M62" s="38"/>
      <c r="N62" s="40"/>
      <c r="O62" s="40"/>
    </row>
    <row r="63" spans="1:13" s="75" customFormat="1" ht="38.25">
      <c r="A63" s="203" t="s">
        <v>293</v>
      </c>
      <c r="B63" s="204"/>
      <c r="C63" s="205" t="s">
        <v>17</v>
      </c>
      <c r="D63" s="205" t="s">
        <v>219</v>
      </c>
      <c r="E63" s="206" t="s">
        <v>220</v>
      </c>
      <c r="F63" s="212" t="s">
        <v>218</v>
      </c>
      <c r="G63" s="207">
        <v>33</v>
      </c>
      <c r="H63" s="387" t="s">
        <v>423</v>
      </c>
      <c r="I63" s="388"/>
      <c r="J63" s="389"/>
      <c r="L63" s="37"/>
      <c r="M63" s="76"/>
    </row>
    <row r="64" spans="1:13" s="75" customFormat="1" ht="25.5">
      <c r="A64" s="203" t="s">
        <v>296</v>
      </c>
      <c r="B64" s="204"/>
      <c r="C64" s="205" t="s">
        <v>17</v>
      </c>
      <c r="D64" s="205" t="s">
        <v>222</v>
      </c>
      <c r="E64" s="206" t="s">
        <v>223</v>
      </c>
      <c r="F64" s="212" t="s">
        <v>218</v>
      </c>
      <c r="G64" s="207">
        <v>33</v>
      </c>
      <c r="H64" s="387" t="s">
        <v>423</v>
      </c>
      <c r="I64" s="388"/>
      <c r="J64" s="389"/>
      <c r="L64" s="37"/>
      <c r="M64" s="76"/>
    </row>
    <row r="65" spans="1:15" ht="12.75">
      <c r="A65" s="260">
        <v>8</v>
      </c>
      <c r="B65" s="261"/>
      <c r="C65" s="262"/>
      <c r="D65" s="452" t="s">
        <v>75</v>
      </c>
      <c r="E65" s="453"/>
      <c r="F65" s="453"/>
      <c r="G65" s="453"/>
      <c r="H65" s="453"/>
      <c r="I65" s="453"/>
      <c r="J65" s="454"/>
      <c r="L65" s="37"/>
      <c r="M65" s="33"/>
      <c r="N65" s="33"/>
      <c r="O65" s="33"/>
    </row>
    <row r="66" spans="1:15" ht="38.25" customHeight="1">
      <c r="A66" s="203" t="s">
        <v>68</v>
      </c>
      <c r="B66" s="205" t="s">
        <v>77</v>
      </c>
      <c r="C66" s="205" t="s">
        <v>17</v>
      </c>
      <c r="D66" s="205" t="s">
        <v>78</v>
      </c>
      <c r="E66" s="206" t="s">
        <v>79</v>
      </c>
      <c r="F66" s="212" t="s">
        <v>218</v>
      </c>
      <c r="G66" s="207">
        <v>898.43</v>
      </c>
      <c r="H66" s="387" t="s">
        <v>418</v>
      </c>
      <c r="I66" s="388"/>
      <c r="J66" s="389"/>
      <c r="L66" s="37"/>
      <c r="M66" s="38"/>
      <c r="N66" s="33"/>
      <c r="O66" s="33"/>
    </row>
    <row r="67" spans="1:15" ht="38.25">
      <c r="A67" s="203" t="s">
        <v>72</v>
      </c>
      <c r="B67" s="204"/>
      <c r="C67" s="205" t="s">
        <v>17</v>
      </c>
      <c r="D67" s="205" t="s">
        <v>81</v>
      </c>
      <c r="E67" s="206" t="s">
        <v>82</v>
      </c>
      <c r="F67" s="212" t="s">
        <v>218</v>
      </c>
      <c r="G67" s="207">
        <v>898.43</v>
      </c>
      <c r="H67" s="387" t="s">
        <v>418</v>
      </c>
      <c r="I67" s="388"/>
      <c r="J67" s="389"/>
      <c r="L67" s="37"/>
      <c r="M67" s="38"/>
      <c r="N67" s="33"/>
      <c r="O67" s="33"/>
    </row>
    <row r="68" spans="1:12" s="75" customFormat="1" ht="12.75">
      <c r="A68" s="107">
        <v>9</v>
      </c>
      <c r="B68" s="108"/>
      <c r="C68" s="109"/>
      <c r="D68" s="452" t="s">
        <v>254</v>
      </c>
      <c r="E68" s="453"/>
      <c r="F68" s="453"/>
      <c r="G68" s="453"/>
      <c r="H68" s="453"/>
      <c r="I68" s="453"/>
      <c r="J68" s="454"/>
      <c r="L68" s="37"/>
    </row>
    <row r="69" spans="1:12" s="75" customFormat="1" ht="12.75">
      <c r="A69" s="107" t="s">
        <v>76</v>
      </c>
      <c r="B69" s="108"/>
      <c r="C69" s="109"/>
      <c r="D69" s="322"/>
      <c r="E69" s="323" t="s">
        <v>518</v>
      </c>
      <c r="F69" s="323"/>
      <c r="G69" s="323"/>
      <c r="H69" s="323"/>
      <c r="I69" s="323"/>
      <c r="J69" s="324"/>
      <c r="L69" s="37"/>
    </row>
    <row r="70" spans="1:15" ht="27.75" customHeight="1">
      <c r="A70" s="203" t="s">
        <v>297</v>
      </c>
      <c r="B70" s="205" t="s">
        <v>77</v>
      </c>
      <c r="C70" s="205" t="s">
        <v>17</v>
      </c>
      <c r="D70" s="225" t="s">
        <v>276</v>
      </c>
      <c r="E70" s="223" t="s">
        <v>275</v>
      </c>
      <c r="F70" s="212" t="s">
        <v>218</v>
      </c>
      <c r="G70" s="207">
        <v>48.168</v>
      </c>
      <c r="H70" s="387" t="s">
        <v>418</v>
      </c>
      <c r="I70" s="388"/>
      <c r="J70" s="389"/>
      <c r="L70" s="37"/>
      <c r="M70" s="33"/>
      <c r="N70" s="33"/>
      <c r="O70" s="33"/>
    </row>
    <row r="71" spans="1:15" ht="51">
      <c r="A71" s="203" t="s">
        <v>298</v>
      </c>
      <c r="B71" s="204"/>
      <c r="C71" s="205" t="s">
        <v>17</v>
      </c>
      <c r="D71" s="225" t="s">
        <v>272</v>
      </c>
      <c r="E71" s="231" t="s">
        <v>271</v>
      </c>
      <c r="F71" s="212" t="s">
        <v>218</v>
      </c>
      <c r="G71" s="207">
        <f>48.168+(3.62*2)</f>
        <v>55.408</v>
      </c>
      <c r="H71" s="387" t="s">
        <v>418</v>
      </c>
      <c r="I71" s="388"/>
      <c r="J71" s="389"/>
      <c r="L71" s="37"/>
      <c r="M71" s="33"/>
      <c r="N71" s="33"/>
      <c r="O71" s="33"/>
    </row>
    <row r="72" spans="1:15" ht="25.5">
      <c r="A72" s="203" t="s">
        <v>299</v>
      </c>
      <c r="B72" s="204"/>
      <c r="C72" s="205" t="s">
        <v>17</v>
      </c>
      <c r="D72" s="233" t="s">
        <v>258</v>
      </c>
      <c r="E72" s="234" t="s">
        <v>257</v>
      </c>
      <c r="F72" s="235" t="s">
        <v>259</v>
      </c>
      <c r="G72" s="236">
        <f>3.62*2</f>
        <v>7.24</v>
      </c>
      <c r="H72" s="387" t="s">
        <v>418</v>
      </c>
      <c r="I72" s="388"/>
      <c r="J72" s="389"/>
      <c r="L72" s="37"/>
      <c r="M72" s="33"/>
      <c r="N72" s="33"/>
      <c r="O72" s="33"/>
    </row>
    <row r="73" spans="1:15" ht="25.5">
      <c r="A73" s="203" t="s">
        <v>424</v>
      </c>
      <c r="B73" s="205"/>
      <c r="C73" s="205" t="s">
        <v>17</v>
      </c>
      <c r="D73" s="225" t="s">
        <v>261</v>
      </c>
      <c r="E73" s="223" t="s">
        <v>260</v>
      </c>
      <c r="F73" s="212" t="s">
        <v>218</v>
      </c>
      <c r="G73" s="207">
        <f>3.62*2</f>
        <v>7.24</v>
      </c>
      <c r="H73" s="387" t="s">
        <v>418</v>
      </c>
      <c r="I73" s="388"/>
      <c r="J73" s="389"/>
      <c r="L73" s="37"/>
      <c r="M73" s="33"/>
      <c r="N73" s="33"/>
      <c r="O73" s="33"/>
    </row>
    <row r="74" spans="1:15" ht="12.75">
      <c r="A74" s="110" t="s">
        <v>80</v>
      </c>
      <c r="B74" s="111"/>
      <c r="C74" s="112"/>
      <c r="D74" s="449" t="s">
        <v>39</v>
      </c>
      <c r="E74" s="450"/>
      <c r="F74" s="450"/>
      <c r="G74" s="450"/>
      <c r="H74" s="450"/>
      <c r="I74" s="450"/>
      <c r="J74" s="451"/>
      <c r="L74" s="37"/>
      <c r="M74" s="33"/>
      <c r="N74" s="33"/>
      <c r="O74" s="33"/>
    </row>
    <row r="75" spans="1:15" ht="25.5">
      <c r="A75" s="209" t="s">
        <v>498</v>
      </c>
      <c r="B75" s="213"/>
      <c r="C75" s="212" t="s">
        <v>17</v>
      </c>
      <c r="D75" s="212" t="s">
        <v>32</v>
      </c>
      <c r="E75" s="214" t="s">
        <v>33</v>
      </c>
      <c r="F75" s="212" t="s">
        <v>329</v>
      </c>
      <c r="G75" s="207">
        <v>216.8</v>
      </c>
      <c r="H75" s="387" t="s">
        <v>142</v>
      </c>
      <c r="I75" s="388"/>
      <c r="J75" s="389"/>
      <c r="L75" s="37"/>
      <c r="M75" s="38"/>
      <c r="N75" s="33"/>
      <c r="O75" s="33"/>
    </row>
    <row r="76" spans="1:15" ht="38.25">
      <c r="A76" s="209" t="s">
        <v>300</v>
      </c>
      <c r="B76" s="210"/>
      <c r="C76" s="219" t="s">
        <v>17</v>
      </c>
      <c r="D76" s="219" t="s">
        <v>45</v>
      </c>
      <c r="E76" s="208" t="s">
        <v>37</v>
      </c>
      <c r="F76" s="212" t="s">
        <v>214</v>
      </c>
      <c r="G76" s="207">
        <v>59.46</v>
      </c>
      <c r="H76" s="387" t="s">
        <v>142</v>
      </c>
      <c r="I76" s="388"/>
      <c r="J76" s="389"/>
      <c r="L76" s="37"/>
      <c r="M76" s="38"/>
      <c r="N76" s="33"/>
      <c r="O76" s="33"/>
    </row>
    <row r="77" spans="1:15" ht="38.25">
      <c r="A77" s="209" t="s">
        <v>301</v>
      </c>
      <c r="B77" s="103"/>
      <c r="C77" s="96" t="s">
        <v>17</v>
      </c>
      <c r="D77" s="86" t="s">
        <v>283</v>
      </c>
      <c r="E77" s="105" t="s">
        <v>284</v>
      </c>
      <c r="F77" s="102" t="s">
        <v>218</v>
      </c>
      <c r="G77" s="82">
        <f>(0.5*3.9)*14</f>
        <v>27.3</v>
      </c>
      <c r="H77" s="387" t="s">
        <v>483</v>
      </c>
      <c r="I77" s="388"/>
      <c r="J77" s="389"/>
      <c r="L77" s="37"/>
      <c r="M77" s="38"/>
      <c r="N77" s="33"/>
      <c r="O77" s="33"/>
    </row>
    <row r="78" spans="1:15" ht="38.25">
      <c r="A78" s="209" t="s">
        <v>302</v>
      </c>
      <c r="B78" s="103"/>
      <c r="C78" s="96" t="s">
        <v>17</v>
      </c>
      <c r="D78" s="205" t="s">
        <v>78</v>
      </c>
      <c r="E78" s="206" t="s">
        <v>79</v>
      </c>
      <c r="F78" s="205" t="s">
        <v>19</v>
      </c>
      <c r="G78" s="82">
        <f>(0.5*3.9)*14</f>
        <v>27.3</v>
      </c>
      <c r="H78" s="387" t="s">
        <v>483</v>
      </c>
      <c r="I78" s="388"/>
      <c r="J78" s="389"/>
      <c r="L78" s="37"/>
      <c r="M78" s="38"/>
      <c r="N78" s="33"/>
      <c r="O78" s="33"/>
    </row>
    <row r="79" spans="1:15" ht="38.25">
      <c r="A79" s="209" t="s">
        <v>476</v>
      </c>
      <c r="B79" s="103"/>
      <c r="C79" s="96" t="s">
        <v>17</v>
      </c>
      <c r="D79" s="205" t="s">
        <v>81</v>
      </c>
      <c r="E79" s="206" t="s">
        <v>82</v>
      </c>
      <c r="F79" s="205" t="s">
        <v>19</v>
      </c>
      <c r="G79" s="82">
        <f>(0.5*3.9)*14</f>
        <v>27.3</v>
      </c>
      <c r="H79" s="387" t="s">
        <v>483</v>
      </c>
      <c r="I79" s="388"/>
      <c r="J79" s="389"/>
      <c r="L79" s="37"/>
      <c r="M79" s="38"/>
      <c r="N79" s="33"/>
      <c r="O79" s="33"/>
    </row>
    <row r="80" spans="1:15" ht="12.75">
      <c r="A80" s="107">
        <v>10</v>
      </c>
      <c r="B80" s="108"/>
      <c r="C80" s="109"/>
      <c r="D80" s="440" t="s">
        <v>83</v>
      </c>
      <c r="E80" s="441"/>
      <c r="F80" s="441"/>
      <c r="G80" s="441"/>
      <c r="H80" s="441"/>
      <c r="I80" s="441"/>
      <c r="J80" s="442"/>
      <c r="L80" s="37"/>
      <c r="M80" s="33"/>
      <c r="N80" s="33"/>
      <c r="O80" s="33"/>
    </row>
    <row r="81" spans="1:15" ht="135" customHeight="1">
      <c r="A81" s="97" t="s">
        <v>84</v>
      </c>
      <c r="B81" s="86"/>
      <c r="C81" s="96" t="s">
        <v>17</v>
      </c>
      <c r="D81" s="96" t="s">
        <v>85</v>
      </c>
      <c r="E81" s="104" t="s">
        <v>86</v>
      </c>
      <c r="F81" s="96" t="s">
        <v>328</v>
      </c>
      <c r="G81" s="82">
        <f>6+9+5+1+14</f>
        <v>35</v>
      </c>
      <c r="H81" s="373" t="s">
        <v>472</v>
      </c>
      <c r="I81" s="374"/>
      <c r="J81" s="375"/>
      <c r="L81" s="37"/>
      <c r="M81" s="38"/>
      <c r="N81" s="33"/>
      <c r="O81" s="33"/>
    </row>
    <row r="82" spans="1:15" ht="51">
      <c r="A82" s="97" t="s">
        <v>87</v>
      </c>
      <c r="B82" s="86"/>
      <c r="C82" s="96" t="s">
        <v>285</v>
      </c>
      <c r="D82" s="96">
        <v>93128</v>
      </c>
      <c r="E82" s="106" t="s">
        <v>88</v>
      </c>
      <c r="F82" s="96" t="s">
        <v>328</v>
      </c>
      <c r="G82" s="82">
        <f>12+29+12</f>
        <v>53</v>
      </c>
      <c r="H82" s="373" t="s">
        <v>472</v>
      </c>
      <c r="I82" s="374"/>
      <c r="J82" s="375"/>
      <c r="L82" s="37"/>
      <c r="M82" s="38"/>
      <c r="N82" s="33"/>
      <c r="O82" s="33"/>
    </row>
    <row r="83" spans="1:15" ht="51">
      <c r="A83" s="97" t="s">
        <v>173</v>
      </c>
      <c r="B83" s="86"/>
      <c r="C83" s="205" t="s">
        <v>17</v>
      </c>
      <c r="D83" s="96" t="s">
        <v>474</v>
      </c>
      <c r="E83" s="106" t="s">
        <v>473</v>
      </c>
      <c r="F83" s="96" t="s">
        <v>328</v>
      </c>
      <c r="G83" s="82">
        <f>G82</f>
        <v>53</v>
      </c>
      <c r="H83" s="373" t="s">
        <v>472</v>
      </c>
      <c r="I83" s="374"/>
      <c r="J83" s="375"/>
      <c r="L83" s="37"/>
      <c r="M83" s="38"/>
      <c r="N83" s="33"/>
      <c r="O83" s="33"/>
    </row>
    <row r="84" spans="1:15" ht="25.5">
      <c r="A84" s="97" t="s">
        <v>174</v>
      </c>
      <c r="B84" s="204"/>
      <c r="C84" s="205" t="s">
        <v>17</v>
      </c>
      <c r="D84" s="205" t="s">
        <v>447</v>
      </c>
      <c r="E84" s="206" t="s">
        <v>448</v>
      </c>
      <c r="F84" s="205" t="s">
        <v>328</v>
      </c>
      <c r="G84" s="207">
        <v>1</v>
      </c>
      <c r="H84" s="373" t="s">
        <v>472</v>
      </c>
      <c r="I84" s="374"/>
      <c r="J84" s="375"/>
      <c r="L84" s="37"/>
      <c r="M84" s="38"/>
      <c r="N84" s="33"/>
      <c r="O84" s="33"/>
    </row>
    <row r="85" spans="1:15" ht="12.75" customHeight="1">
      <c r="A85" s="97" t="s">
        <v>175</v>
      </c>
      <c r="B85" s="204"/>
      <c r="C85" s="205" t="s">
        <v>17</v>
      </c>
      <c r="D85" s="205" t="s">
        <v>450</v>
      </c>
      <c r="E85" s="206" t="s">
        <v>449</v>
      </c>
      <c r="F85" s="205" t="s">
        <v>328</v>
      </c>
      <c r="G85" s="207">
        <v>1</v>
      </c>
      <c r="H85" s="373" t="s">
        <v>472</v>
      </c>
      <c r="I85" s="374"/>
      <c r="J85" s="375"/>
      <c r="L85" s="37"/>
      <c r="M85" s="38"/>
      <c r="N85" s="33"/>
      <c r="O85" s="33"/>
    </row>
    <row r="86" spans="1:15" ht="25.5" customHeight="1">
      <c r="A86" s="97" t="s">
        <v>176</v>
      </c>
      <c r="B86" s="273"/>
      <c r="C86" s="205" t="s">
        <v>285</v>
      </c>
      <c r="D86" s="205">
        <v>90458</v>
      </c>
      <c r="E86" s="206" t="s">
        <v>453</v>
      </c>
      <c r="F86" s="205" t="s">
        <v>328</v>
      </c>
      <c r="G86" s="207">
        <v>1</v>
      </c>
      <c r="H86" s="373" t="s">
        <v>472</v>
      </c>
      <c r="I86" s="374"/>
      <c r="J86" s="375"/>
      <c r="L86" s="37"/>
      <c r="M86" s="38"/>
      <c r="N86" s="33"/>
      <c r="O86" s="33"/>
    </row>
    <row r="87" spans="1:15" ht="38.25" customHeight="1">
      <c r="A87" s="97" t="s">
        <v>177</v>
      </c>
      <c r="B87" s="204"/>
      <c r="C87" s="205" t="s">
        <v>17</v>
      </c>
      <c r="D87" s="205" t="s">
        <v>463</v>
      </c>
      <c r="E87" s="206" t="s">
        <v>462</v>
      </c>
      <c r="F87" s="205" t="s">
        <v>172</v>
      </c>
      <c r="G87" s="207">
        <v>399.7</v>
      </c>
      <c r="H87" s="373" t="s">
        <v>472</v>
      </c>
      <c r="I87" s="374"/>
      <c r="J87" s="375"/>
      <c r="L87" s="37"/>
      <c r="M87" s="38"/>
      <c r="N87" s="33"/>
      <c r="O87" s="33"/>
    </row>
    <row r="88" spans="1:15" ht="38.25" customHeight="1">
      <c r="A88" s="97" t="s">
        <v>180</v>
      </c>
      <c r="B88" s="204"/>
      <c r="C88" s="205" t="s">
        <v>17</v>
      </c>
      <c r="D88" s="205" t="s">
        <v>465</v>
      </c>
      <c r="E88" s="206" t="s">
        <v>464</v>
      </c>
      <c r="F88" s="205" t="s">
        <v>172</v>
      </c>
      <c r="G88" s="207">
        <v>700.2</v>
      </c>
      <c r="H88" s="373" t="s">
        <v>472</v>
      </c>
      <c r="I88" s="374"/>
      <c r="J88" s="375"/>
      <c r="L88" s="37"/>
      <c r="M88" s="38"/>
      <c r="N88" s="33"/>
      <c r="O88" s="33"/>
    </row>
    <row r="89" spans="1:15" ht="12.75">
      <c r="A89" s="89">
        <v>11</v>
      </c>
      <c r="B89" s="90"/>
      <c r="C89" s="84"/>
      <c r="D89" s="443" t="s">
        <v>226</v>
      </c>
      <c r="E89" s="444"/>
      <c r="F89" s="444"/>
      <c r="G89" s="444"/>
      <c r="H89" s="444"/>
      <c r="I89" s="444"/>
      <c r="J89" s="445"/>
      <c r="K89" s="73"/>
      <c r="L89" s="37"/>
      <c r="M89" s="51"/>
      <c r="N89" s="50"/>
      <c r="O89" s="33"/>
    </row>
    <row r="90" spans="1:15" ht="51">
      <c r="A90" s="237" t="s">
        <v>90</v>
      </c>
      <c r="B90" s="238"/>
      <c r="C90" s="239" t="s">
        <v>17</v>
      </c>
      <c r="D90" s="240" t="s">
        <v>235</v>
      </c>
      <c r="E90" s="240" t="s">
        <v>236</v>
      </c>
      <c r="F90" s="239" t="s">
        <v>328</v>
      </c>
      <c r="G90" s="241">
        <v>1</v>
      </c>
      <c r="H90" s="387">
        <v>1</v>
      </c>
      <c r="I90" s="388"/>
      <c r="J90" s="389"/>
      <c r="K90" s="73"/>
      <c r="L90" s="37"/>
      <c r="M90" s="51"/>
      <c r="N90" s="50"/>
      <c r="O90" s="33"/>
    </row>
    <row r="91" spans="1:15" ht="51">
      <c r="A91" s="237" t="s">
        <v>303</v>
      </c>
      <c r="B91" s="238"/>
      <c r="C91" s="239" t="s">
        <v>17</v>
      </c>
      <c r="D91" s="240" t="s">
        <v>178</v>
      </c>
      <c r="E91" s="240" t="s">
        <v>179</v>
      </c>
      <c r="F91" s="239" t="s">
        <v>328</v>
      </c>
      <c r="G91" s="241">
        <v>3</v>
      </c>
      <c r="H91" s="387">
        <v>3</v>
      </c>
      <c r="I91" s="388"/>
      <c r="J91" s="389"/>
      <c r="K91" s="73"/>
      <c r="L91" s="37"/>
      <c r="M91" s="51"/>
      <c r="N91" s="50"/>
      <c r="O91" s="33"/>
    </row>
    <row r="92" spans="1:15" ht="51">
      <c r="A92" s="237" t="s">
        <v>304</v>
      </c>
      <c r="B92" s="238"/>
      <c r="C92" s="239" t="s">
        <v>17</v>
      </c>
      <c r="D92" s="240" t="s">
        <v>181</v>
      </c>
      <c r="E92" s="240" t="s">
        <v>182</v>
      </c>
      <c r="F92" s="239" t="s">
        <v>328</v>
      </c>
      <c r="G92" s="241">
        <v>1</v>
      </c>
      <c r="H92" s="387">
        <v>1</v>
      </c>
      <c r="I92" s="388"/>
      <c r="J92" s="389"/>
      <c r="K92" s="73"/>
      <c r="L92" s="37"/>
      <c r="M92" s="51"/>
      <c r="N92" s="50"/>
      <c r="O92" s="33"/>
    </row>
    <row r="93" spans="1:15" ht="12.75">
      <c r="A93" s="237" t="s">
        <v>305</v>
      </c>
      <c r="B93" s="238"/>
      <c r="C93" s="239" t="s">
        <v>17</v>
      </c>
      <c r="D93" s="240" t="s">
        <v>183</v>
      </c>
      <c r="E93" s="240" t="s">
        <v>184</v>
      </c>
      <c r="F93" s="239" t="s">
        <v>328</v>
      </c>
      <c r="G93" s="241">
        <v>6</v>
      </c>
      <c r="H93" s="387">
        <v>6</v>
      </c>
      <c r="I93" s="388"/>
      <c r="J93" s="389"/>
      <c r="K93" s="73"/>
      <c r="L93" s="37"/>
      <c r="M93" s="74"/>
      <c r="N93" s="50"/>
      <c r="O93" s="33"/>
    </row>
    <row r="94" spans="1:15" ht="76.5">
      <c r="A94" s="237" t="s">
        <v>306</v>
      </c>
      <c r="B94" s="242"/>
      <c r="C94" s="239" t="s">
        <v>17</v>
      </c>
      <c r="D94" s="239" t="s">
        <v>237</v>
      </c>
      <c r="E94" s="240" t="s">
        <v>238</v>
      </c>
      <c r="F94" s="239" t="s">
        <v>328</v>
      </c>
      <c r="G94" s="241">
        <v>1</v>
      </c>
      <c r="H94" s="387">
        <v>1</v>
      </c>
      <c r="I94" s="388"/>
      <c r="J94" s="389"/>
      <c r="K94" s="73"/>
      <c r="L94" s="37"/>
      <c r="M94" s="74"/>
      <c r="N94" s="50"/>
      <c r="O94" s="33"/>
    </row>
    <row r="95" spans="1:15" ht="63.75">
      <c r="A95" s="237" t="s">
        <v>307</v>
      </c>
      <c r="B95" s="238"/>
      <c r="C95" s="239" t="s">
        <v>17</v>
      </c>
      <c r="D95" s="240" t="s">
        <v>185</v>
      </c>
      <c r="E95" s="240" t="s">
        <v>186</v>
      </c>
      <c r="F95" s="239" t="s">
        <v>328</v>
      </c>
      <c r="G95" s="241">
        <v>1</v>
      </c>
      <c r="H95" s="387">
        <v>1</v>
      </c>
      <c r="I95" s="388"/>
      <c r="J95" s="389"/>
      <c r="K95" s="73"/>
      <c r="L95" s="37"/>
      <c r="M95" s="74"/>
      <c r="N95" s="50"/>
      <c r="O95" s="33"/>
    </row>
    <row r="96" spans="1:15" ht="38.25">
      <c r="A96" s="237" t="s">
        <v>308</v>
      </c>
      <c r="B96" s="238"/>
      <c r="C96" s="239" t="s">
        <v>17</v>
      </c>
      <c r="D96" s="240" t="s">
        <v>187</v>
      </c>
      <c r="E96" s="240" t="s">
        <v>188</v>
      </c>
      <c r="F96" s="239" t="s">
        <v>328</v>
      </c>
      <c r="G96" s="241">
        <v>1</v>
      </c>
      <c r="H96" s="387">
        <v>1</v>
      </c>
      <c r="I96" s="388"/>
      <c r="J96" s="389"/>
      <c r="K96" s="73"/>
      <c r="L96" s="37"/>
      <c r="M96" s="74"/>
      <c r="N96" s="50"/>
      <c r="O96" s="33"/>
    </row>
    <row r="97" spans="1:15" ht="79.5" customHeight="1">
      <c r="A97" s="237" t="s">
        <v>309</v>
      </c>
      <c r="B97" s="238"/>
      <c r="C97" s="239" t="s">
        <v>17</v>
      </c>
      <c r="D97" s="240" t="s">
        <v>245</v>
      </c>
      <c r="E97" s="240" t="s">
        <v>250</v>
      </c>
      <c r="F97" s="239" t="s">
        <v>328</v>
      </c>
      <c r="G97" s="241">
        <v>1</v>
      </c>
      <c r="H97" s="387">
        <v>1</v>
      </c>
      <c r="I97" s="388"/>
      <c r="J97" s="389"/>
      <c r="K97" s="73"/>
      <c r="L97" s="37"/>
      <c r="M97" s="74"/>
      <c r="N97" s="50"/>
      <c r="O97" s="33"/>
    </row>
    <row r="98" spans="1:15" ht="76.5">
      <c r="A98" s="237" t="s">
        <v>310</v>
      </c>
      <c r="B98" s="238"/>
      <c r="C98" s="239" t="s">
        <v>17</v>
      </c>
      <c r="D98" s="240" t="s">
        <v>247</v>
      </c>
      <c r="E98" s="243" t="s">
        <v>246</v>
      </c>
      <c r="F98" s="239" t="s">
        <v>328</v>
      </c>
      <c r="G98" s="241">
        <v>2</v>
      </c>
      <c r="H98" s="387">
        <v>2</v>
      </c>
      <c r="I98" s="388"/>
      <c r="J98" s="389"/>
      <c r="K98" s="73"/>
      <c r="L98" s="37"/>
      <c r="M98" s="74"/>
      <c r="N98" s="50"/>
      <c r="O98" s="33"/>
    </row>
    <row r="99" spans="1:15" ht="89.25">
      <c r="A99" s="237" t="s">
        <v>311</v>
      </c>
      <c r="B99" s="238"/>
      <c r="C99" s="239" t="s">
        <v>17</v>
      </c>
      <c r="D99" s="240" t="s">
        <v>239</v>
      </c>
      <c r="E99" s="240" t="s">
        <v>240</v>
      </c>
      <c r="F99" s="239" t="s">
        <v>328</v>
      </c>
      <c r="G99" s="244">
        <v>2</v>
      </c>
      <c r="H99" s="387">
        <v>2</v>
      </c>
      <c r="I99" s="388"/>
      <c r="J99" s="389"/>
      <c r="K99" s="73"/>
      <c r="L99" s="37"/>
      <c r="M99" s="74"/>
      <c r="N99" s="50"/>
      <c r="O99" s="33"/>
    </row>
    <row r="100" spans="1:15" ht="25.5">
      <c r="A100" s="237" t="s">
        <v>312</v>
      </c>
      <c r="B100" s="245"/>
      <c r="C100" s="239" t="s">
        <v>17</v>
      </c>
      <c r="D100" s="204" t="s">
        <v>280</v>
      </c>
      <c r="E100" s="221" t="s">
        <v>279</v>
      </c>
      <c r="F100" s="239" t="s">
        <v>218</v>
      </c>
      <c r="G100" s="246">
        <v>2.48</v>
      </c>
      <c r="H100" s="387">
        <f>((2.66*0.6)+(1.47*0.6))</f>
        <v>2.478</v>
      </c>
      <c r="I100" s="388"/>
      <c r="J100" s="389"/>
      <c r="K100" s="73"/>
      <c r="L100" s="37"/>
      <c r="M100" s="51"/>
      <c r="N100" s="50"/>
      <c r="O100" s="33"/>
    </row>
    <row r="101" spans="1:15" ht="76.5">
      <c r="A101" s="237" t="s">
        <v>313</v>
      </c>
      <c r="B101" s="247"/>
      <c r="C101" s="239" t="s">
        <v>17</v>
      </c>
      <c r="D101" s="239" t="s">
        <v>241</v>
      </c>
      <c r="E101" s="240" t="s">
        <v>242</v>
      </c>
      <c r="F101" s="239" t="s">
        <v>328</v>
      </c>
      <c r="G101" s="248">
        <v>2</v>
      </c>
      <c r="H101" s="387">
        <v>2</v>
      </c>
      <c r="I101" s="388"/>
      <c r="J101" s="389"/>
      <c r="K101" s="73"/>
      <c r="L101" s="37"/>
      <c r="M101" s="51"/>
      <c r="N101" s="50"/>
      <c r="O101" s="33"/>
    </row>
    <row r="102" spans="1:15" ht="51">
      <c r="A102" s="237" t="s">
        <v>314</v>
      </c>
      <c r="B102" s="247"/>
      <c r="C102" s="239" t="s">
        <v>17</v>
      </c>
      <c r="D102" s="239" t="s">
        <v>243</v>
      </c>
      <c r="E102" s="240" t="s">
        <v>244</v>
      </c>
      <c r="F102" s="239" t="s">
        <v>328</v>
      </c>
      <c r="G102" s="248">
        <v>2</v>
      </c>
      <c r="H102" s="446">
        <v>2</v>
      </c>
      <c r="I102" s="447"/>
      <c r="J102" s="448"/>
      <c r="K102" s="73"/>
      <c r="L102" s="37"/>
      <c r="M102" s="51"/>
      <c r="N102" s="50"/>
      <c r="O102" s="33"/>
    </row>
    <row r="103" spans="1:14" ht="51">
      <c r="A103" s="237" t="s">
        <v>315</v>
      </c>
      <c r="B103" s="247"/>
      <c r="C103" s="239" t="s">
        <v>17</v>
      </c>
      <c r="D103" s="239" t="s">
        <v>248</v>
      </c>
      <c r="E103" s="240" t="s">
        <v>249</v>
      </c>
      <c r="F103" s="239" t="s">
        <v>328</v>
      </c>
      <c r="G103" s="248">
        <v>1</v>
      </c>
      <c r="H103" s="387">
        <v>1</v>
      </c>
      <c r="I103" s="388"/>
      <c r="J103" s="389"/>
      <c r="K103" s="73"/>
      <c r="L103" s="37"/>
      <c r="M103" s="51"/>
      <c r="N103" s="50"/>
    </row>
    <row r="104" spans="1:14" ht="12.75">
      <c r="A104" s="237" t="s">
        <v>316</v>
      </c>
      <c r="B104" s="247"/>
      <c r="C104" s="239" t="s">
        <v>17</v>
      </c>
      <c r="D104" s="249" t="s">
        <v>274</v>
      </c>
      <c r="E104" s="250" t="s">
        <v>273</v>
      </c>
      <c r="F104" s="239" t="s">
        <v>328</v>
      </c>
      <c r="G104" s="248">
        <v>4</v>
      </c>
      <c r="H104" s="387">
        <v>4</v>
      </c>
      <c r="I104" s="388"/>
      <c r="J104" s="389"/>
      <c r="K104" s="73"/>
      <c r="L104" s="37"/>
      <c r="M104" s="51"/>
      <c r="N104" s="50"/>
    </row>
    <row r="105" spans="1:14" ht="12.75">
      <c r="A105" s="89">
        <v>12</v>
      </c>
      <c r="B105" s="83"/>
      <c r="C105" s="84"/>
      <c r="D105" s="443" t="s">
        <v>475</v>
      </c>
      <c r="E105" s="444"/>
      <c r="F105" s="444"/>
      <c r="G105" s="444"/>
      <c r="H105" s="444"/>
      <c r="I105" s="444"/>
      <c r="J105" s="445"/>
      <c r="K105" s="159"/>
      <c r="L105" s="37"/>
      <c r="M105" s="51"/>
      <c r="N105" s="50"/>
    </row>
    <row r="106" spans="1:14" ht="12.75">
      <c r="A106" s="251" t="s">
        <v>317</v>
      </c>
      <c r="B106" s="247"/>
      <c r="C106" s="252" t="s">
        <v>17</v>
      </c>
      <c r="D106" s="253" t="s">
        <v>256</v>
      </c>
      <c r="E106" s="254" t="s">
        <v>255</v>
      </c>
      <c r="F106" s="252" t="s">
        <v>328</v>
      </c>
      <c r="G106" s="255">
        <v>1</v>
      </c>
      <c r="H106" s="387">
        <v>1</v>
      </c>
      <c r="I106" s="388"/>
      <c r="J106" s="389"/>
      <c r="K106" s="159"/>
      <c r="L106" s="37"/>
      <c r="M106" s="51"/>
      <c r="N106" s="50"/>
    </row>
    <row r="107" spans="1:14" ht="63.75">
      <c r="A107" s="251" t="s">
        <v>318</v>
      </c>
      <c r="B107" s="247"/>
      <c r="C107" s="239" t="s">
        <v>17</v>
      </c>
      <c r="D107" s="225" t="s">
        <v>264</v>
      </c>
      <c r="E107" s="231" t="s">
        <v>263</v>
      </c>
      <c r="F107" s="239" t="s">
        <v>218</v>
      </c>
      <c r="G107" s="207">
        <v>5.04</v>
      </c>
      <c r="H107" s="387" t="s">
        <v>418</v>
      </c>
      <c r="I107" s="388"/>
      <c r="J107" s="389"/>
      <c r="K107" s="159"/>
      <c r="L107" s="37"/>
      <c r="M107" s="51"/>
      <c r="N107" s="50"/>
    </row>
    <row r="108" spans="1:14" ht="38.25">
      <c r="A108" s="251" t="s">
        <v>319</v>
      </c>
      <c r="B108" s="247"/>
      <c r="C108" s="239" t="s">
        <v>17</v>
      </c>
      <c r="D108" s="230" t="s">
        <v>268</v>
      </c>
      <c r="E108" s="231" t="s">
        <v>267</v>
      </c>
      <c r="F108" s="239" t="s">
        <v>218</v>
      </c>
      <c r="G108" s="207">
        <v>7.98</v>
      </c>
      <c r="H108" s="387" t="s">
        <v>418</v>
      </c>
      <c r="I108" s="388"/>
      <c r="J108" s="389"/>
      <c r="K108" s="159"/>
      <c r="L108" s="37"/>
      <c r="M108" s="51"/>
      <c r="N108" s="50"/>
    </row>
    <row r="109" spans="1:14" ht="25.5">
      <c r="A109" s="251" t="s">
        <v>320</v>
      </c>
      <c r="B109" s="247"/>
      <c r="C109" s="239" t="s">
        <v>17</v>
      </c>
      <c r="D109" s="225" t="s">
        <v>270</v>
      </c>
      <c r="E109" s="223" t="s">
        <v>269</v>
      </c>
      <c r="F109" s="239" t="s">
        <v>218</v>
      </c>
      <c r="G109" s="255">
        <v>2.52</v>
      </c>
      <c r="H109" s="387" t="s">
        <v>418</v>
      </c>
      <c r="I109" s="388"/>
      <c r="J109" s="389"/>
      <c r="K109" s="159"/>
      <c r="L109" s="37"/>
      <c r="M109" s="51"/>
      <c r="N109" s="50"/>
    </row>
    <row r="110" spans="1:14" ht="25.5">
      <c r="A110" s="251" t="s">
        <v>321</v>
      </c>
      <c r="B110" s="247"/>
      <c r="C110" s="239" t="s">
        <v>17</v>
      </c>
      <c r="D110" s="256" t="s">
        <v>277</v>
      </c>
      <c r="E110" s="220" t="s">
        <v>278</v>
      </c>
      <c r="F110" s="239" t="s">
        <v>218</v>
      </c>
      <c r="G110" s="257">
        <v>1.44</v>
      </c>
      <c r="H110" s="387" t="s">
        <v>418</v>
      </c>
      <c r="I110" s="388"/>
      <c r="J110" s="389"/>
      <c r="K110" s="159"/>
      <c r="L110" s="37"/>
      <c r="M110" s="51"/>
      <c r="N110" s="50"/>
    </row>
    <row r="111" spans="1:14" ht="25.5">
      <c r="A111" s="251" t="s">
        <v>322</v>
      </c>
      <c r="B111" s="247"/>
      <c r="C111" s="239" t="s">
        <v>17</v>
      </c>
      <c r="D111" s="204" t="s">
        <v>276</v>
      </c>
      <c r="E111" s="206" t="s">
        <v>275</v>
      </c>
      <c r="F111" s="239" t="s">
        <v>218</v>
      </c>
      <c r="G111" s="207">
        <v>0.27</v>
      </c>
      <c r="H111" s="387" t="s">
        <v>418</v>
      </c>
      <c r="I111" s="388"/>
      <c r="J111" s="389"/>
      <c r="K111" s="159"/>
      <c r="L111" s="37"/>
      <c r="M111" s="51"/>
      <c r="N111" s="50"/>
    </row>
    <row r="112" spans="1:14" ht="63.75">
      <c r="A112" s="251" t="s">
        <v>323</v>
      </c>
      <c r="B112" s="247"/>
      <c r="C112" s="219" t="s">
        <v>17</v>
      </c>
      <c r="D112" s="225" t="s">
        <v>266</v>
      </c>
      <c r="E112" s="258" t="s">
        <v>265</v>
      </c>
      <c r="F112" s="212" t="s">
        <v>328</v>
      </c>
      <c r="G112" s="207">
        <v>1</v>
      </c>
      <c r="H112" s="387">
        <v>1</v>
      </c>
      <c r="I112" s="388"/>
      <c r="J112" s="389"/>
      <c r="K112" s="159"/>
      <c r="L112" s="37"/>
      <c r="M112" s="51"/>
      <c r="N112" s="50"/>
    </row>
    <row r="113" spans="1:14" ht="25.5">
      <c r="A113" s="251" t="s">
        <v>324</v>
      </c>
      <c r="B113" s="247"/>
      <c r="C113" s="219" t="s">
        <v>17</v>
      </c>
      <c r="D113" s="204" t="s">
        <v>288</v>
      </c>
      <c r="E113" s="211" t="s">
        <v>287</v>
      </c>
      <c r="F113" s="212" t="s">
        <v>172</v>
      </c>
      <c r="G113" s="207">
        <f>3.42*4</f>
        <v>13.68</v>
      </c>
      <c r="H113" s="387" t="s">
        <v>419</v>
      </c>
      <c r="I113" s="388"/>
      <c r="J113" s="389"/>
      <c r="K113" s="159"/>
      <c r="L113" s="37"/>
      <c r="M113" s="51"/>
      <c r="N113" s="50"/>
    </row>
    <row r="114" spans="1:14" ht="12.75">
      <c r="A114" s="89">
        <v>13</v>
      </c>
      <c r="B114" s="83"/>
      <c r="C114" s="84"/>
      <c r="D114" s="440" t="s">
        <v>491</v>
      </c>
      <c r="E114" s="441"/>
      <c r="F114" s="441"/>
      <c r="G114" s="441"/>
      <c r="H114" s="441"/>
      <c r="I114" s="441"/>
      <c r="J114" s="442"/>
      <c r="K114" s="159"/>
      <c r="L114" s="37"/>
      <c r="M114" s="51"/>
      <c r="N114" s="50"/>
    </row>
    <row r="115" spans="1:14" ht="38.25">
      <c r="A115" s="251" t="s">
        <v>325</v>
      </c>
      <c r="B115" s="247"/>
      <c r="C115" s="219" t="s">
        <v>17</v>
      </c>
      <c r="D115" s="225" t="s">
        <v>290</v>
      </c>
      <c r="E115" s="223" t="s">
        <v>289</v>
      </c>
      <c r="F115" s="259" t="s">
        <v>218</v>
      </c>
      <c r="G115" s="207">
        <f>3.85*4</f>
        <v>15.4</v>
      </c>
      <c r="H115" s="387" t="s">
        <v>420</v>
      </c>
      <c r="I115" s="388"/>
      <c r="J115" s="389"/>
      <c r="K115" s="159"/>
      <c r="L115" s="37"/>
      <c r="M115" s="51"/>
      <c r="N115" s="50"/>
    </row>
    <row r="116" spans="1:14" ht="38.25">
      <c r="A116" s="251" t="s">
        <v>326</v>
      </c>
      <c r="B116" s="247"/>
      <c r="C116" s="219" t="s">
        <v>17</v>
      </c>
      <c r="D116" s="204" t="s">
        <v>291</v>
      </c>
      <c r="E116" s="220" t="s">
        <v>330</v>
      </c>
      <c r="F116" s="259" t="s">
        <v>218</v>
      </c>
      <c r="G116" s="207">
        <v>71.02</v>
      </c>
      <c r="H116" s="387" t="s">
        <v>418</v>
      </c>
      <c r="I116" s="388"/>
      <c r="J116" s="389"/>
      <c r="K116" s="159"/>
      <c r="L116" s="37"/>
      <c r="M116" s="51"/>
      <c r="N116" s="50"/>
    </row>
    <row r="117" spans="1:14" ht="12.75">
      <c r="A117" s="89">
        <v>14</v>
      </c>
      <c r="B117" s="90"/>
      <c r="C117" s="84"/>
      <c r="D117" s="443" t="s">
        <v>89</v>
      </c>
      <c r="E117" s="444"/>
      <c r="F117" s="444"/>
      <c r="G117" s="444"/>
      <c r="H117" s="444"/>
      <c r="I117" s="444"/>
      <c r="J117" s="445"/>
      <c r="K117" s="73"/>
      <c r="L117" s="37"/>
      <c r="M117" s="50"/>
      <c r="N117" s="50"/>
    </row>
    <row r="118" spans="1:14" ht="13.5" thickBot="1">
      <c r="A118" s="251" t="s">
        <v>499</v>
      </c>
      <c r="B118" s="247"/>
      <c r="C118" s="239" t="s">
        <v>17</v>
      </c>
      <c r="D118" s="239" t="s">
        <v>91</v>
      </c>
      <c r="E118" s="240" t="s">
        <v>92</v>
      </c>
      <c r="F118" s="239" t="s">
        <v>218</v>
      </c>
      <c r="G118" s="248">
        <v>470</v>
      </c>
      <c r="H118" s="387" t="s">
        <v>421</v>
      </c>
      <c r="I118" s="388"/>
      <c r="J118" s="389"/>
      <c r="K118" s="73"/>
      <c r="L118" s="37"/>
      <c r="M118" s="51"/>
      <c r="N118" s="50"/>
    </row>
    <row r="119" spans="1:14" ht="16.5" thickBot="1">
      <c r="A119" s="363" t="s">
        <v>436</v>
      </c>
      <c r="B119" s="364"/>
      <c r="C119" s="364"/>
      <c r="D119" s="364"/>
      <c r="E119" s="364"/>
      <c r="F119" s="364"/>
      <c r="G119" s="364"/>
      <c r="H119" s="364"/>
      <c r="I119" s="364"/>
      <c r="J119" s="430"/>
      <c r="K119" s="73"/>
      <c r="L119" s="37"/>
      <c r="M119" s="50"/>
      <c r="N119" s="50"/>
    </row>
    <row r="120" spans="1:14" ht="16.5" thickBot="1">
      <c r="A120" s="295"/>
      <c r="B120" s="114"/>
      <c r="C120" s="114"/>
      <c r="D120" s="114"/>
      <c r="E120" s="114"/>
      <c r="F120" s="114"/>
      <c r="G120" s="114"/>
      <c r="H120" s="114"/>
      <c r="I120" s="115"/>
      <c r="J120" s="296"/>
      <c r="K120" s="73"/>
      <c r="L120" s="37"/>
      <c r="M120" s="50"/>
      <c r="N120" s="50"/>
    </row>
    <row r="121" spans="1:15" ht="24" thickBot="1">
      <c r="A121" s="365" t="s">
        <v>398</v>
      </c>
      <c r="B121" s="366"/>
      <c r="C121" s="366"/>
      <c r="D121" s="366"/>
      <c r="E121" s="366"/>
      <c r="F121" s="366"/>
      <c r="G121" s="366"/>
      <c r="H121" s="366"/>
      <c r="I121" s="366"/>
      <c r="J121" s="367"/>
      <c r="L121" s="37"/>
      <c r="M121" s="33"/>
      <c r="N121" s="33"/>
      <c r="O121" s="33"/>
    </row>
    <row r="122" spans="1:15" s="5" customFormat="1" ht="15.75" thickBot="1">
      <c r="A122" s="368"/>
      <c r="B122" s="369"/>
      <c r="C122" s="369"/>
      <c r="D122" s="369"/>
      <c r="E122" s="369"/>
      <c r="F122" s="369"/>
      <c r="G122" s="369"/>
      <c r="H122" s="369"/>
      <c r="I122" s="369"/>
      <c r="J122" s="370"/>
      <c r="K122" s="199"/>
      <c r="L122" s="37"/>
      <c r="M122" s="35"/>
      <c r="N122" s="35"/>
      <c r="O122" s="35"/>
    </row>
    <row r="123" spans="1:15" ht="12.75">
      <c r="A123" s="116" t="s">
        <v>5</v>
      </c>
      <c r="B123" s="117"/>
      <c r="C123" s="118" t="s">
        <v>6</v>
      </c>
      <c r="D123" s="118" t="s">
        <v>7</v>
      </c>
      <c r="E123" s="88" t="s">
        <v>8</v>
      </c>
      <c r="F123" s="88" t="s">
        <v>9</v>
      </c>
      <c r="G123" s="119" t="s">
        <v>10</v>
      </c>
      <c r="H123" s="455" t="s">
        <v>425</v>
      </c>
      <c r="I123" s="456"/>
      <c r="J123" s="457"/>
      <c r="L123" s="37"/>
      <c r="M123" s="33"/>
      <c r="N123" s="33"/>
      <c r="O123" s="33"/>
    </row>
    <row r="124" spans="1:15" ht="12.75">
      <c r="A124" s="120">
        <v>1</v>
      </c>
      <c r="B124" s="121"/>
      <c r="C124" s="122"/>
      <c r="D124" s="427" t="s">
        <v>24</v>
      </c>
      <c r="E124" s="428"/>
      <c r="F124" s="428"/>
      <c r="G124" s="428"/>
      <c r="H124" s="428"/>
      <c r="I124" s="428"/>
      <c r="J124" s="429"/>
      <c r="L124" s="37"/>
      <c r="M124" s="33"/>
      <c r="N124" s="33"/>
      <c r="O124" s="34"/>
    </row>
    <row r="125" spans="1:15" ht="12.75">
      <c r="A125" s="123" t="s">
        <v>16</v>
      </c>
      <c r="B125" s="124"/>
      <c r="C125" s="125"/>
      <c r="D125" s="458" t="s">
        <v>39</v>
      </c>
      <c r="E125" s="459"/>
      <c r="F125" s="459"/>
      <c r="G125" s="459"/>
      <c r="H125" s="459"/>
      <c r="I125" s="459"/>
      <c r="J125" s="460"/>
      <c r="L125" s="37"/>
      <c r="M125" s="33"/>
      <c r="N125" s="33"/>
      <c r="O125" s="34"/>
    </row>
    <row r="126" spans="1:15" ht="51">
      <c r="A126" s="127" t="s">
        <v>338</v>
      </c>
      <c r="B126" s="128"/>
      <c r="C126" s="129" t="s">
        <v>41</v>
      </c>
      <c r="D126" s="129">
        <v>92441</v>
      </c>
      <c r="E126" s="130" t="s">
        <v>42</v>
      </c>
      <c r="F126" s="129" t="s">
        <v>19</v>
      </c>
      <c r="G126" s="87">
        <v>242.11</v>
      </c>
      <c r="H126" s="381" t="s">
        <v>430</v>
      </c>
      <c r="I126" s="382"/>
      <c r="J126" s="383"/>
      <c r="L126" s="37"/>
      <c r="M126" s="38"/>
      <c r="N126" s="33"/>
      <c r="O126" s="34"/>
    </row>
    <row r="127" spans="1:15" ht="25.5">
      <c r="A127" s="127" t="s">
        <v>339</v>
      </c>
      <c r="B127" s="128"/>
      <c r="C127" s="129" t="s">
        <v>17</v>
      </c>
      <c r="D127" s="129" t="s">
        <v>32</v>
      </c>
      <c r="E127" s="131" t="s">
        <v>33</v>
      </c>
      <c r="F127" s="129" t="s">
        <v>34</v>
      </c>
      <c r="G127" s="87">
        <v>2694.3</v>
      </c>
      <c r="H127" s="381" t="s">
        <v>430</v>
      </c>
      <c r="I127" s="382"/>
      <c r="J127" s="383"/>
      <c r="L127" s="37"/>
      <c r="M127" s="38"/>
      <c r="N127" s="33"/>
      <c r="O127" s="34"/>
    </row>
    <row r="128" spans="1:15" ht="38.25">
      <c r="A128" s="127" t="s">
        <v>340</v>
      </c>
      <c r="B128" s="132"/>
      <c r="C128" s="133" t="s">
        <v>17</v>
      </c>
      <c r="D128" s="133" t="s">
        <v>45</v>
      </c>
      <c r="E128" s="134" t="s">
        <v>37</v>
      </c>
      <c r="F128" s="129" t="s">
        <v>30</v>
      </c>
      <c r="G128" s="87">
        <v>17</v>
      </c>
      <c r="H128" s="381" t="s">
        <v>430</v>
      </c>
      <c r="I128" s="382"/>
      <c r="J128" s="383"/>
      <c r="L128" s="37"/>
      <c r="M128" s="38"/>
      <c r="N128" s="33"/>
      <c r="O128" s="34"/>
    </row>
    <row r="129" spans="1:15" ht="12.75">
      <c r="A129" s="123" t="s">
        <v>20</v>
      </c>
      <c r="B129" s="124"/>
      <c r="C129" s="125"/>
      <c r="D129" s="458" t="s">
        <v>47</v>
      </c>
      <c r="E129" s="459"/>
      <c r="F129" s="459"/>
      <c r="G129" s="459"/>
      <c r="H129" s="459"/>
      <c r="I129" s="459"/>
      <c r="J129" s="460"/>
      <c r="L129" s="37"/>
      <c r="M129" s="33"/>
      <c r="N129" s="33"/>
      <c r="O129" s="34"/>
    </row>
    <row r="130" spans="1:15" ht="51">
      <c r="A130" s="127" t="s">
        <v>341</v>
      </c>
      <c r="B130" s="128"/>
      <c r="C130" s="129" t="s">
        <v>41</v>
      </c>
      <c r="D130" s="129">
        <v>92453</v>
      </c>
      <c r="E130" s="130" t="s">
        <v>49</v>
      </c>
      <c r="F130" s="129" t="s">
        <v>19</v>
      </c>
      <c r="G130" s="87">
        <v>486.8</v>
      </c>
      <c r="H130" s="381" t="s">
        <v>430</v>
      </c>
      <c r="I130" s="382"/>
      <c r="J130" s="383"/>
      <c r="L130" s="37"/>
      <c r="M130" s="38"/>
      <c r="N130" s="33"/>
      <c r="O130" s="34"/>
    </row>
    <row r="131" spans="1:15" s="6" customFormat="1" ht="25.5">
      <c r="A131" s="127" t="s">
        <v>342</v>
      </c>
      <c r="B131" s="128"/>
      <c r="C131" s="129" t="s">
        <v>17</v>
      </c>
      <c r="D131" s="129" t="s">
        <v>32</v>
      </c>
      <c r="E131" s="131" t="s">
        <v>33</v>
      </c>
      <c r="F131" s="129" t="s">
        <v>34</v>
      </c>
      <c r="G131" s="87">
        <v>3470.61</v>
      </c>
      <c r="H131" s="381" t="s">
        <v>430</v>
      </c>
      <c r="I131" s="382"/>
      <c r="J131" s="383"/>
      <c r="K131" s="75"/>
      <c r="L131" s="37"/>
      <c r="M131" s="38"/>
      <c r="N131" s="33"/>
      <c r="O131" s="34"/>
    </row>
    <row r="132" spans="1:15" ht="38.25">
      <c r="A132" s="127" t="s">
        <v>343</v>
      </c>
      <c r="B132" s="132"/>
      <c r="C132" s="135" t="s">
        <v>17</v>
      </c>
      <c r="D132" s="135" t="s">
        <v>45</v>
      </c>
      <c r="E132" s="130" t="s">
        <v>37</v>
      </c>
      <c r="F132" s="129" t="s">
        <v>30</v>
      </c>
      <c r="G132" s="87">
        <v>39.39</v>
      </c>
      <c r="H132" s="381" t="s">
        <v>430</v>
      </c>
      <c r="I132" s="382"/>
      <c r="J132" s="383"/>
      <c r="L132" s="37"/>
      <c r="M132" s="38"/>
      <c r="N132" s="33"/>
      <c r="O132" s="34"/>
    </row>
    <row r="133" spans="1:15" ht="12.75">
      <c r="A133" s="123" t="s">
        <v>191</v>
      </c>
      <c r="B133" s="126"/>
      <c r="C133" s="427" t="s">
        <v>207</v>
      </c>
      <c r="D133" s="428"/>
      <c r="E133" s="428"/>
      <c r="F133" s="428"/>
      <c r="G133" s="428"/>
      <c r="H133" s="428"/>
      <c r="I133" s="428"/>
      <c r="J133" s="429"/>
      <c r="L133" s="37"/>
      <c r="M133" s="38"/>
      <c r="N133" s="33"/>
      <c r="O133" s="34"/>
    </row>
    <row r="134" spans="1:15" ht="38.25">
      <c r="A134" s="127" t="s">
        <v>344</v>
      </c>
      <c r="B134" s="132"/>
      <c r="C134" s="135" t="s">
        <v>41</v>
      </c>
      <c r="D134" s="135">
        <v>101969</v>
      </c>
      <c r="E134" s="136" t="s">
        <v>345</v>
      </c>
      <c r="F134" s="129" t="s">
        <v>19</v>
      </c>
      <c r="G134" s="87">
        <v>27.5</v>
      </c>
      <c r="H134" s="381" t="s">
        <v>430</v>
      </c>
      <c r="I134" s="382"/>
      <c r="J134" s="383"/>
      <c r="L134" s="37"/>
      <c r="M134" s="38"/>
      <c r="N134" s="33"/>
      <c r="O134" s="34"/>
    </row>
    <row r="135" spans="1:15" ht="51">
      <c r="A135" s="127" t="s">
        <v>346</v>
      </c>
      <c r="B135" s="132"/>
      <c r="C135" s="135" t="s">
        <v>41</v>
      </c>
      <c r="D135" s="135">
        <v>101977</v>
      </c>
      <c r="E135" s="136" t="s">
        <v>347</v>
      </c>
      <c r="F135" s="129" t="s">
        <v>19</v>
      </c>
      <c r="G135" s="87">
        <v>27.5</v>
      </c>
      <c r="H135" s="381" t="s">
        <v>430</v>
      </c>
      <c r="I135" s="382"/>
      <c r="J135" s="383"/>
      <c r="L135" s="37"/>
      <c r="M135" s="38"/>
      <c r="N135" s="33"/>
      <c r="O135" s="34"/>
    </row>
    <row r="136" spans="1:15" ht="38.25">
      <c r="A136" s="127" t="s">
        <v>348</v>
      </c>
      <c r="B136" s="132"/>
      <c r="C136" s="135" t="s">
        <v>41</v>
      </c>
      <c r="D136" s="135">
        <v>95969</v>
      </c>
      <c r="E136" s="136" t="s">
        <v>349</v>
      </c>
      <c r="F136" s="129" t="s">
        <v>30</v>
      </c>
      <c r="G136" s="87">
        <v>3.2</v>
      </c>
      <c r="H136" s="381" t="s">
        <v>430</v>
      </c>
      <c r="I136" s="382"/>
      <c r="J136" s="383"/>
      <c r="L136" s="37"/>
      <c r="M136" s="38"/>
      <c r="N136" s="33"/>
      <c r="O136" s="34"/>
    </row>
    <row r="137" spans="1:15" ht="25.5">
      <c r="A137" s="127" t="s">
        <v>350</v>
      </c>
      <c r="B137" s="132"/>
      <c r="C137" s="135" t="s">
        <v>17</v>
      </c>
      <c r="D137" s="135" t="s">
        <v>32</v>
      </c>
      <c r="E137" s="136" t="s">
        <v>33</v>
      </c>
      <c r="F137" s="129" t="s">
        <v>34</v>
      </c>
      <c r="G137" s="87">
        <v>199.9</v>
      </c>
      <c r="H137" s="381" t="s">
        <v>430</v>
      </c>
      <c r="I137" s="382"/>
      <c r="J137" s="383"/>
      <c r="L137" s="37"/>
      <c r="M137" s="38"/>
      <c r="N137" s="33"/>
      <c r="O137" s="34"/>
    </row>
    <row r="138" spans="1:15" ht="38.25">
      <c r="A138" s="127" t="s">
        <v>351</v>
      </c>
      <c r="B138" s="132"/>
      <c r="C138" s="135" t="s">
        <v>17</v>
      </c>
      <c r="D138" s="135" t="s">
        <v>45</v>
      </c>
      <c r="E138" s="136" t="s">
        <v>37</v>
      </c>
      <c r="F138" s="129" t="s">
        <v>30</v>
      </c>
      <c r="G138" s="87">
        <v>3.2</v>
      </c>
      <c r="H138" s="381" t="s">
        <v>430</v>
      </c>
      <c r="I138" s="382"/>
      <c r="J138" s="383"/>
      <c r="L138" s="37"/>
      <c r="M138" s="38"/>
      <c r="N138" s="33"/>
      <c r="O138" s="34"/>
    </row>
    <row r="139" spans="1:15" ht="12.75">
      <c r="A139" s="123">
        <v>2</v>
      </c>
      <c r="B139" s="124"/>
      <c r="C139" s="458" t="s">
        <v>147</v>
      </c>
      <c r="D139" s="459"/>
      <c r="E139" s="459"/>
      <c r="F139" s="459"/>
      <c r="G139" s="459"/>
      <c r="H139" s="459"/>
      <c r="I139" s="459"/>
      <c r="J139" s="460"/>
      <c r="L139" s="37"/>
      <c r="M139" s="33"/>
      <c r="N139" s="33"/>
      <c r="O139" s="34"/>
    </row>
    <row r="140" spans="1:15" ht="48.75" customHeight="1">
      <c r="A140" s="265" t="s">
        <v>25</v>
      </c>
      <c r="B140" s="274"/>
      <c r="C140" s="275" t="s">
        <v>17</v>
      </c>
      <c r="D140" s="276" t="s">
        <v>290</v>
      </c>
      <c r="E140" s="277" t="s">
        <v>289</v>
      </c>
      <c r="F140" s="275" t="s">
        <v>218</v>
      </c>
      <c r="G140" s="268">
        <v>1054</v>
      </c>
      <c r="H140" s="381" t="s">
        <v>430</v>
      </c>
      <c r="I140" s="382"/>
      <c r="J140" s="383"/>
      <c r="L140" s="37"/>
      <c r="M140" s="41"/>
      <c r="N140" s="33"/>
      <c r="O140" s="34"/>
    </row>
    <row r="141" spans="1:15" ht="12.75">
      <c r="A141" s="120">
        <v>3</v>
      </c>
      <c r="B141" s="121"/>
      <c r="C141" s="427" t="s">
        <v>215</v>
      </c>
      <c r="D141" s="428"/>
      <c r="E141" s="428"/>
      <c r="F141" s="428"/>
      <c r="G141" s="428"/>
      <c r="H141" s="428"/>
      <c r="I141" s="428"/>
      <c r="J141" s="429"/>
      <c r="L141" s="37"/>
      <c r="M141" s="33"/>
      <c r="N141" s="33"/>
      <c r="O141" s="34"/>
    </row>
    <row r="142" spans="1:15" s="2" customFormat="1" ht="12.75">
      <c r="A142" s="137" t="s">
        <v>52</v>
      </c>
      <c r="B142" s="138"/>
      <c r="C142" s="135" t="s">
        <v>17</v>
      </c>
      <c r="D142" s="135" t="s">
        <v>216</v>
      </c>
      <c r="E142" s="136" t="s">
        <v>217</v>
      </c>
      <c r="F142" s="129" t="s">
        <v>218</v>
      </c>
      <c r="G142" s="268">
        <v>1054</v>
      </c>
      <c r="H142" s="381" t="s">
        <v>431</v>
      </c>
      <c r="I142" s="382"/>
      <c r="J142" s="383"/>
      <c r="K142" s="200"/>
      <c r="L142" s="37"/>
      <c r="M142" s="48"/>
      <c r="N142" s="41"/>
      <c r="O142" s="34"/>
    </row>
    <row r="143" spans="1:15" s="2" customFormat="1" ht="25.5" customHeight="1">
      <c r="A143" s="137" t="s">
        <v>213</v>
      </c>
      <c r="B143" s="138"/>
      <c r="C143" s="135" t="s">
        <v>17</v>
      </c>
      <c r="D143" s="135" t="s">
        <v>160</v>
      </c>
      <c r="E143" s="136" t="s">
        <v>161</v>
      </c>
      <c r="F143" s="129" t="s">
        <v>218</v>
      </c>
      <c r="G143" s="268">
        <v>1054</v>
      </c>
      <c r="H143" s="381" t="s">
        <v>431</v>
      </c>
      <c r="I143" s="382"/>
      <c r="J143" s="383"/>
      <c r="K143" s="200"/>
      <c r="L143" s="37"/>
      <c r="M143" s="48"/>
      <c r="N143" s="41"/>
      <c r="O143" s="34"/>
    </row>
    <row r="144" spans="1:15" ht="38.25" customHeight="1">
      <c r="A144" s="137" t="s">
        <v>327</v>
      </c>
      <c r="B144" s="138"/>
      <c r="C144" s="135" t="s">
        <v>17</v>
      </c>
      <c r="D144" s="135" t="s">
        <v>224</v>
      </c>
      <c r="E144" s="136" t="s">
        <v>225</v>
      </c>
      <c r="F144" s="129" t="s">
        <v>218</v>
      </c>
      <c r="G144" s="268">
        <v>1054</v>
      </c>
      <c r="H144" s="381" t="s">
        <v>431</v>
      </c>
      <c r="I144" s="382"/>
      <c r="J144" s="383"/>
      <c r="K144" s="200"/>
      <c r="L144" s="37"/>
      <c r="M144" s="48"/>
      <c r="N144" s="33"/>
      <c r="O144" s="34"/>
    </row>
    <row r="145" spans="1:15" ht="12.75">
      <c r="A145" s="120">
        <v>4</v>
      </c>
      <c r="B145" s="121"/>
      <c r="C145" s="427" t="s">
        <v>61</v>
      </c>
      <c r="D145" s="428"/>
      <c r="E145" s="428"/>
      <c r="F145" s="428"/>
      <c r="G145" s="428"/>
      <c r="H145" s="428"/>
      <c r="I145" s="428"/>
      <c r="J145" s="429"/>
      <c r="L145" s="37"/>
      <c r="M145" s="33"/>
      <c r="N145" s="33"/>
      <c r="O145" s="34"/>
    </row>
    <row r="146" spans="1:15" ht="50.25" customHeight="1">
      <c r="A146" s="137" t="s">
        <v>54</v>
      </c>
      <c r="B146" s="138"/>
      <c r="C146" s="135" t="s">
        <v>17</v>
      </c>
      <c r="D146" s="135" t="s">
        <v>63</v>
      </c>
      <c r="E146" s="136" t="s">
        <v>64</v>
      </c>
      <c r="F146" s="135" t="s">
        <v>19</v>
      </c>
      <c r="G146" s="139">
        <v>276.42</v>
      </c>
      <c r="H146" s="381" t="s">
        <v>418</v>
      </c>
      <c r="I146" s="382"/>
      <c r="J146" s="383"/>
      <c r="L146" s="37"/>
      <c r="M146" s="38"/>
      <c r="N146" s="33"/>
      <c r="O146" s="34"/>
    </row>
    <row r="147" spans="1:15" ht="50.25" customHeight="1">
      <c r="A147" s="137" t="s">
        <v>148</v>
      </c>
      <c r="B147" s="140"/>
      <c r="C147" s="141" t="s">
        <v>17</v>
      </c>
      <c r="D147" s="141" t="s">
        <v>228</v>
      </c>
      <c r="E147" s="142" t="s">
        <v>227</v>
      </c>
      <c r="F147" s="141" t="s">
        <v>19</v>
      </c>
      <c r="G147" s="325">
        <f>(3.4*4.1)+(5.26*4.1)+(5.5*4.1)+(5.5*4.1)+(6.77*4.1)+(1.7*4.1)+(13.76*4.1)+(1.23*4.1)+(1.32*4.1)+(7.67*4.1)+(7.05*4.1)</f>
        <v>242.55599999999998</v>
      </c>
      <c r="H147" s="381" t="s">
        <v>418</v>
      </c>
      <c r="I147" s="382"/>
      <c r="J147" s="383"/>
      <c r="L147" s="37"/>
      <c r="M147" s="113"/>
      <c r="N147" s="33"/>
      <c r="O147" s="34"/>
    </row>
    <row r="148" spans="1:15" ht="51">
      <c r="A148" s="137" t="s">
        <v>149</v>
      </c>
      <c r="B148" s="138"/>
      <c r="C148" s="135" t="s">
        <v>17</v>
      </c>
      <c r="D148" s="135" t="s">
        <v>229</v>
      </c>
      <c r="E148" s="136" t="s">
        <v>353</v>
      </c>
      <c r="F148" s="135" t="s">
        <v>19</v>
      </c>
      <c r="G148" s="326">
        <f>(3.5*4.1)+(3.51*4.1)+(1.5*4.1)</f>
        <v>34.891</v>
      </c>
      <c r="H148" s="381" t="s">
        <v>418</v>
      </c>
      <c r="I148" s="382"/>
      <c r="J148" s="383"/>
      <c r="L148" s="37"/>
      <c r="M148" s="113"/>
      <c r="N148" s="33"/>
      <c r="O148" s="34"/>
    </row>
    <row r="149" spans="1:15" ht="51" customHeight="1">
      <c r="A149" s="137" t="s">
        <v>151</v>
      </c>
      <c r="B149" s="143"/>
      <c r="C149" s="144" t="s">
        <v>17</v>
      </c>
      <c r="D149" s="145" t="s">
        <v>229</v>
      </c>
      <c r="E149" s="297" t="s">
        <v>230</v>
      </c>
      <c r="F149" s="144" t="s">
        <v>19</v>
      </c>
      <c r="G149" s="327">
        <f>(4.85*4.1)+(3.5*4.1)+(1.54*4.1)+(3.16*4.1)+(1.96*4.1)+(2.4*4.1)+(0.3*4.1)+(1.8*4.1)+(3.16*4.1)+(1.54*4.1)+(0.85*4.1)</f>
        <v>102.746</v>
      </c>
      <c r="H149" s="381" t="s">
        <v>418</v>
      </c>
      <c r="I149" s="382"/>
      <c r="J149" s="383"/>
      <c r="L149" s="37"/>
      <c r="M149" s="113"/>
      <c r="N149" s="33"/>
      <c r="O149" s="34"/>
    </row>
    <row r="150" spans="1:15" ht="51" customHeight="1">
      <c r="A150" s="137" t="s">
        <v>354</v>
      </c>
      <c r="B150" s="138"/>
      <c r="C150" s="135" t="s">
        <v>17</v>
      </c>
      <c r="D150" s="298" t="s">
        <v>231</v>
      </c>
      <c r="E150" s="146" t="s">
        <v>232</v>
      </c>
      <c r="F150" s="135" t="s">
        <v>19</v>
      </c>
      <c r="G150" s="328">
        <f>(1.35*4.1)+(4.7*4.1)+(0.45*4.1)+(7.25*4.1)+(5.84*4.1)+(7.3*4.1)+(5.97*4.1)+(6.75*4.1)+(8.8*4.1)+(7.35*4.1)+(5.85*4.1)+(0.3*4.1)+(7.49*2)+(2*2)+(1.34*4.1)</f>
        <v>278.30499999999995</v>
      </c>
      <c r="H150" s="381" t="s">
        <v>418</v>
      </c>
      <c r="I150" s="382"/>
      <c r="J150" s="383"/>
      <c r="L150" s="37"/>
      <c r="M150" s="113"/>
      <c r="N150" s="33"/>
      <c r="O150" s="34"/>
    </row>
    <row r="151" spans="1:15" ht="12.75">
      <c r="A151" s="120">
        <v>5</v>
      </c>
      <c r="B151" s="121"/>
      <c r="C151" s="427" t="s">
        <v>67</v>
      </c>
      <c r="D151" s="428"/>
      <c r="E151" s="428"/>
      <c r="F151" s="428"/>
      <c r="G151" s="428"/>
      <c r="H151" s="428"/>
      <c r="I151" s="428"/>
      <c r="J151" s="429"/>
      <c r="L151" s="37"/>
      <c r="M151" s="33"/>
      <c r="N151" s="33"/>
      <c r="O151" s="34"/>
    </row>
    <row r="152" spans="1:15" s="8" customFormat="1" ht="38.25">
      <c r="A152" s="137" t="s">
        <v>57</v>
      </c>
      <c r="B152" s="138"/>
      <c r="C152" s="135" t="s">
        <v>17</v>
      </c>
      <c r="D152" s="133" t="s">
        <v>70</v>
      </c>
      <c r="E152" s="147" t="s">
        <v>71</v>
      </c>
      <c r="F152" s="135" t="s">
        <v>19</v>
      </c>
      <c r="G152" s="87">
        <v>1487.8</v>
      </c>
      <c r="H152" s="381" t="s">
        <v>418</v>
      </c>
      <c r="I152" s="382"/>
      <c r="J152" s="383"/>
      <c r="K152" s="75"/>
      <c r="L152" s="37"/>
      <c r="M152" s="38"/>
      <c r="N152" s="40"/>
      <c r="O152" s="34"/>
    </row>
    <row r="153" spans="1:15" s="8" customFormat="1" ht="38.25">
      <c r="A153" s="137" t="s">
        <v>60</v>
      </c>
      <c r="B153" s="138"/>
      <c r="C153" s="135" t="s">
        <v>17</v>
      </c>
      <c r="D153" s="135" t="s">
        <v>73</v>
      </c>
      <c r="E153" s="136" t="s">
        <v>74</v>
      </c>
      <c r="F153" s="135" t="s">
        <v>19</v>
      </c>
      <c r="G153" s="87">
        <v>1487.8</v>
      </c>
      <c r="H153" s="381" t="s">
        <v>418</v>
      </c>
      <c r="I153" s="382"/>
      <c r="J153" s="383"/>
      <c r="K153" s="201"/>
      <c r="L153" s="37"/>
      <c r="M153" s="38"/>
      <c r="N153" s="40"/>
      <c r="O153" s="34"/>
    </row>
    <row r="154" spans="1:15" ht="25.5">
      <c r="A154" s="137" t="s">
        <v>154</v>
      </c>
      <c r="B154" s="138"/>
      <c r="C154" s="135" t="s">
        <v>17</v>
      </c>
      <c r="D154" s="135" t="s">
        <v>355</v>
      </c>
      <c r="E154" s="136" t="s">
        <v>356</v>
      </c>
      <c r="F154" s="135" t="s">
        <v>218</v>
      </c>
      <c r="G154" s="87">
        <f>103.935+63.632</f>
        <v>167.567</v>
      </c>
      <c r="H154" s="381" t="s">
        <v>418</v>
      </c>
      <c r="I154" s="382"/>
      <c r="J154" s="383"/>
      <c r="K154" s="201"/>
      <c r="L154" s="37"/>
      <c r="M154" s="38"/>
      <c r="N154" s="33"/>
      <c r="O154" s="34"/>
    </row>
    <row r="155" spans="1:15" ht="38.25">
      <c r="A155" s="137" t="s">
        <v>155</v>
      </c>
      <c r="B155" s="138"/>
      <c r="C155" s="135" t="s">
        <v>17</v>
      </c>
      <c r="D155" s="135" t="s">
        <v>157</v>
      </c>
      <c r="E155" s="136" t="s">
        <v>251</v>
      </c>
      <c r="F155" s="135" t="s">
        <v>218</v>
      </c>
      <c r="G155" s="87">
        <f>G154</f>
        <v>167.567</v>
      </c>
      <c r="H155" s="381" t="s">
        <v>418</v>
      </c>
      <c r="I155" s="382"/>
      <c r="J155" s="383"/>
      <c r="K155" s="201"/>
      <c r="L155" s="37"/>
      <c r="M155" s="38"/>
      <c r="N155" s="33"/>
      <c r="O155" s="34"/>
    </row>
    <row r="156" spans="1:15" ht="63.75">
      <c r="A156" s="137" t="s">
        <v>156</v>
      </c>
      <c r="B156" s="138"/>
      <c r="C156" s="135" t="s">
        <v>17</v>
      </c>
      <c r="D156" s="135" t="s">
        <v>252</v>
      </c>
      <c r="E156" s="136" t="s">
        <v>357</v>
      </c>
      <c r="F156" s="135" t="s">
        <v>218</v>
      </c>
      <c r="G156" s="87">
        <v>1157.17</v>
      </c>
      <c r="H156" s="381" t="s">
        <v>431</v>
      </c>
      <c r="I156" s="382"/>
      <c r="J156" s="383"/>
      <c r="K156" s="201"/>
      <c r="L156" s="37"/>
      <c r="M156" s="38"/>
      <c r="N156" s="33"/>
      <c r="O156" s="34"/>
    </row>
    <row r="157" spans="1:15" ht="38.25">
      <c r="A157" s="137" t="s">
        <v>358</v>
      </c>
      <c r="B157" s="138"/>
      <c r="C157" s="135" t="s">
        <v>17</v>
      </c>
      <c r="D157" s="135" t="s">
        <v>219</v>
      </c>
      <c r="E157" s="136" t="s">
        <v>220</v>
      </c>
      <c r="F157" s="135" t="s">
        <v>19</v>
      </c>
      <c r="G157" s="87">
        <v>24.9</v>
      </c>
      <c r="H157" s="381" t="s">
        <v>426</v>
      </c>
      <c r="I157" s="382"/>
      <c r="J157" s="383"/>
      <c r="L157" s="37"/>
      <c r="M157" s="38"/>
      <c r="N157" s="33"/>
      <c r="O157" s="34"/>
    </row>
    <row r="158" spans="1:15" ht="25.5">
      <c r="A158" s="137" t="s">
        <v>500</v>
      </c>
      <c r="B158" s="138"/>
      <c r="C158" s="135" t="s">
        <v>17</v>
      </c>
      <c r="D158" s="135" t="s">
        <v>222</v>
      </c>
      <c r="E158" s="136" t="s">
        <v>223</v>
      </c>
      <c r="F158" s="135" t="s">
        <v>19</v>
      </c>
      <c r="G158" s="87">
        <v>24.9</v>
      </c>
      <c r="H158" s="381" t="s">
        <v>426</v>
      </c>
      <c r="I158" s="382"/>
      <c r="J158" s="383"/>
      <c r="L158" s="37"/>
      <c r="M158" s="38"/>
      <c r="N158" s="33"/>
      <c r="O158" s="34"/>
    </row>
    <row r="159" spans="1:15" ht="12.75">
      <c r="A159" s="120">
        <v>6</v>
      </c>
      <c r="B159" s="121"/>
      <c r="C159" s="427" t="s">
        <v>75</v>
      </c>
      <c r="D159" s="428"/>
      <c r="E159" s="428"/>
      <c r="F159" s="428"/>
      <c r="G159" s="428"/>
      <c r="H159" s="428"/>
      <c r="I159" s="428"/>
      <c r="J159" s="429"/>
      <c r="L159" s="37"/>
      <c r="M159" s="33"/>
      <c r="N159" s="33"/>
      <c r="O159" s="34"/>
    </row>
    <row r="160" spans="1:15" ht="38.25">
      <c r="A160" s="137" t="s">
        <v>62</v>
      </c>
      <c r="B160" s="138"/>
      <c r="C160" s="135" t="s">
        <v>17</v>
      </c>
      <c r="D160" s="135" t="s">
        <v>78</v>
      </c>
      <c r="E160" s="136" t="s">
        <v>79</v>
      </c>
      <c r="F160" s="135" t="s">
        <v>19</v>
      </c>
      <c r="G160" s="87">
        <f>282.654+377.112+215.25+545.622+10.98</f>
        <v>1431.618</v>
      </c>
      <c r="H160" s="381" t="s">
        <v>418</v>
      </c>
      <c r="I160" s="382"/>
      <c r="J160" s="383"/>
      <c r="L160" s="37"/>
      <c r="M160" s="38"/>
      <c r="N160" s="33"/>
      <c r="O160" s="34"/>
    </row>
    <row r="161" spans="1:15" s="2" customFormat="1" ht="38.25">
      <c r="A161" s="137" t="s">
        <v>158</v>
      </c>
      <c r="B161" s="148" t="s">
        <v>166</v>
      </c>
      <c r="C161" s="135" t="s">
        <v>17</v>
      </c>
      <c r="D161" s="135" t="s">
        <v>81</v>
      </c>
      <c r="E161" s="136" t="s">
        <v>82</v>
      </c>
      <c r="F161" s="135" t="s">
        <v>19</v>
      </c>
      <c r="G161" s="87">
        <f>282.654+377.112+215.25+545.622+10.98</f>
        <v>1431.618</v>
      </c>
      <c r="H161" s="381" t="s">
        <v>418</v>
      </c>
      <c r="I161" s="382"/>
      <c r="J161" s="383"/>
      <c r="K161" s="75"/>
      <c r="L161" s="37"/>
      <c r="M161" s="38"/>
      <c r="N161" s="41"/>
      <c r="O161" s="34"/>
    </row>
    <row r="162" spans="1:15" s="2" customFormat="1" ht="12.75">
      <c r="A162" s="120">
        <v>7</v>
      </c>
      <c r="B162" s="154"/>
      <c r="C162" s="427" t="s">
        <v>254</v>
      </c>
      <c r="D162" s="428"/>
      <c r="E162" s="428"/>
      <c r="F162" s="428"/>
      <c r="G162" s="428"/>
      <c r="H162" s="428"/>
      <c r="I162" s="428"/>
      <c r="J162" s="429"/>
      <c r="K162" s="75"/>
      <c r="L162" s="37"/>
      <c r="M162" s="38"/>
      <c r="N162" s="41"/>
      <c r="O162" s="34"/>
    </row>
    <row r="163" spans="1:15" s="2" customFormat="1" ht="12.75">
      <c r="A163" s="120" t="s">
        <v>65</v>
      </c>
      <c r="B163" s="154"/>
      <c r="C163" s="319"/>
      <c r="D163" s="320"/>
      <c r="E163" s="320" t="s">
        <v>475</v>
      </c>
      <c r="F163" s="320"/>
      <c r="G163" s="320"/>
      <c r="H163" s="320"/>
      <c r="I163" s="320"/>
      <c r="J163" s="321"/>
      <c r="K163" s="75"/>
      <c r="L163" s="37"/>
      <c r="M163" s="38"/>
      <c r="N163" s="41"/>
      <c r="O163" s="34"/>
    </row>
    <row r="164" spans="1:15" s="2" customFormat="1" ht="25.5">
      <c r="A164" s="137" t="s">
        <v>359</v>
      </c>
      <c r="B164" s="138"/>
      <c r="C164" s="135" t="s">
        <v>17</v>
      </c>
      <c r="D164" s="135" t="s">
        <v>276</v>
      </c>
      <c r="E164" s="136" t="s">
        <v>275</v>
      </c>
      <c r="F164" s="135" t="s">
        <v>19</v>
      </c>
      <c r="G164" s="87">
        <f>48.16</f>
        <v>48.16</v>
      </c>
      <c r="H164" s="381" t="s">
        <v>431</v>
      </c>
      <c r="I164" s="382"/>
      <c r="J164" s="383"/>
      <c r="K164" s="75"/>
      <c r="L164" s="37"/>
      <c r="M164" s="38"/>
      <c r="N164" s="41"/>
      <c r="O164" s="34"/>
    </row>
    <row r="165" spans="1:15" s="2" customFormat="1" ht="51">
      <c r="A165" s="137" t="s">
        <v>360</v>
      </c>
      <c r="B165" s="138"/>
      <c r="C165" s="135" t="s">
        <v>17</v>
      </c>
      <c r="D165" s="135" t="s">
        <v>272</v>
      </c>
      <c r="E165" s="136" t="s">
        <v>271</v>
      </c>
      <c r="F165" s="135" t="s">
        <v>19</v>
      </c>
      <c r="G165" s="87">
        <f>48.16+4.2+15.645+11.56+93.59+93.59</f>
        <v>266.745</v>
      </c>
      <c r="H165" s="381" t="s">
        <v>429</v>
      </c>
      <c r="I165" s="382"/>
      <c r="J165" s="383"/>
      <c r="K165" s="75"/>
      <c r="L165" s="37"/>
      <c r="M165" s="38"/>
      <c r="N165" s="41"/>
      <c r="O165" s="34"/>
    </row>
    <row r="166" spans="1:15" s="2" customFormat="1" ht="25.5">
      <c r="A166" s="137" t="s">
        <v>361</v>
      </c>
      <c r="B166" s="138"/>
      <c r="C166" s="135" t="s">
        <v>17</v>
      </c>
      <c r="D166" s="135" t="s">
        <v>258</v>
      </c>
      <c r="E166" s="136" t="s">
        <v>362</v>
      </c>
      <c r="F166" s="135" t="s">
        <v>363</v>
      </c>
      <c r="G166" s="87">
        <f>4.2+15.645</f>
        <v>19.845</v>
      </c>
      <c r="H166" s="381" t="s">
        <v>428</v>
      </c>
      <c r="I166" s="382"/>
      <c r="J166" s="383"/>
      <c r="K166" s="75"/>
      <c r="L166" s="37"/>
      <c r="M166" s="38"/>
      <c r="N166" s="41"/>
      <c r="O166" s="34"/>
    </row>
    <row r="167" spans="1:15" s="2" customFormat="1" ht="25.5">
      <c r="A167" s="137" t="s">
        <v>364</v>
      </c>
      <c r="B167" s="138"/>
      <c r="C167" s="135" t="s">
        <v>17</v>
      </c>
      <c r="D167" s="135" t="s">
        <v>261</v>
      </c>
      <c r="E167" s="136" t="s">
        <v>260</v>
      </c>
      <c r="F167" s="135" t="s">
        <v>19</v>
      </c>
      <c r="G167" s="87">
        <f>13.12+4.4</f>
        <v>17.52</v>
      </c>
      <c r="H167" s="381" t="s">
        <v>427</v>
      </c>
      <c r="I167" s="382"/>
      <c r="J167" s="383"/>
      <c r="K167" s="75"/>
      <c r="L167" s="37"/>
      <c r="M167" s="38"/>
      <c r="N167" s="41"/>
      <c r="O167" s="34"/>
    </row>
    <row r="168" spans="1:15" s="2" customFormat="1" ht="38.25">
      <c r="A168" s="137" t="s">
        <v>365</v>
      </c>
      <c r="B168" s="138"/>
      <c r="C168" s="135" t="s">
        <v>17</v>
      </c>
      <c r="D168" s="135" t="s">
        <v>366</v>
      </c>
      <c r="E168" s="136" t="s">
        <v>367</v>
      </c>
      <c r="F168" s="135" t="s">
        <v>352</v>
      </c>
      <c r="G168" s="87">
        <f>13.12+4.4</f>
        <v>17.52</v>
      </c>
      <c r="H168" s="381" t="s">
        <v>427</v>
      </c>
      <c r="I168" s="382"/>
      <c r="J168" s="383"/>
      <c r="K168" s="75"/>
      <c r="L168" s="37"/>
      <c r="M168" s="38"/>
      <c r="N168" s="41"/>
      <c r="O168" s="34"/>
    </row>
    <row r="169" spans="1:15" s="2" customFormat="1" ht="38.25">
      <c r="A169" s="137" t="s">
        <v>368</v>
      </c>
      <c r="B169" s="138"/>
      <c r="C169" s="135" t="s">
        <v>17</v>
      </c>
      <c r="D169" s="135" t="s">
        <v>369</v>
      </c>
      <c r="E169" s="136" t="s">
        <v>370</v>
      </c>
      <c r="F169" s="135" t="s">
        <v>371</v>
      </c>
      <c r="G169" s="87">
        <f>13.12+4.4</f>
        <v>17.52</v>
      </c>
      <c r="H169" s="381" t="s">
        <v>427</v>
      </c>
      <c r="I169" s="382"/>
      <c r="J169" s="383"/>
      <c r="K169" s="75"/>
      <c r="L169" s="37"/>
      <c r="M169" s="38"/>
      <c r="N169" s="41"/>
      <c r="O169" s="34"/>
    </row>
    <row r="170" spans="1:15" s="2" customFormat="1" ht="12.75">
      <c r="A170" s="120" t="s">
        <v>66</v>
      </c>
      <c r="B170" s="121"/>
      <c r="C170" s="427" t="s">
        <v>372</v>
      </c>
      <c r="D170" s="428"/>
      <c r="E170" s="428"/>
      <c r="F170" s="428"/>
      <c r="G170" s="428"/>
      <c r="H170" s="428"/>
      <c r="I170" s="428"/>
      <c r="J170" s="429"/>
      <c r="K170" s="75"/>
      <c r="L170" s="37"/>
      <c r="M170" s="38"/>
      <c r="N170" s="41"/>
      <c r="O170" s="34"/>
    </row>
    <row r="171" spans="1:15" s="2" customFormat="1" ht="25.5">
      <c r="A171" s="137" t="s">
        <v>373</v>
      </c>
      <c r="B171" s="138"/>
      <c r="C171" s="135" t="s">
        <v>17</v>
      </c>
      <c r="D171" s="135" t="s">
        <v>32</v>
      </c>
      <c r="E171" s="136" t="s">
        <v>374</v>
      </c>
      <c r="F171" s="135" t="s">
        <v>34</v>
      </c>
      <c r="G171" s="87">
        <v>216.8</v>
      </c>
      <c r="H171" s="381" t="s">
        <v>430</v>
      </c>
      <c r="I171" s="382"/>
      <c r="J171" s="383"/>
      <c r="K171" s="75"/>
      <c r="L171" s="37"/>
      <c r="M171" s="38"/>
      <c r="N171" s="41"/>
      <c r="O171" s="34"/>
    </row>
    <row r="172" spans="1:15" s="2" customFormat="1" ht="38.25">
      <c r="A172" s="137" t="s">
        <v>501</v>
      </c>
      <c r="B172" s="138"/>
      <c r="C172" s="135" t="s">
        <v>17</v>
      </c>
      <c r="D172" s="135" t="s">
        <v>283</v>
      </c>
      <c r="E172" s="136" t="s">
        <v>376</v>
      </c>
      <c r="F172" s="135" t="s">
        <v>19</v>
      </c>
      <c r="G172" s="268">
        <f>(0.5*4.1)*14</f>
        <v>28.699999999999996</v>
      </c>
      <c r="H172" s="424" t="s">
        <v>481</v>
      </c>
      <c r="I172" s="425"/>
      <c r="J172" s="426"/>
      <c r="K172" s="75"/>
      <c r="L172" s="37"/>
      <c r="M172" s="38"/>
      <c r="N172" s="41"/>
      <c r="O172" s="34"/>
    </row>
    <row r="173" spans="1:15" s="2" customFormat="1" ht="25.5">
      <c r="A173" s="137" t="s">
        <v>484</v>
      </c>
      <c r="B173" s="138"/>
      <c r="C173" s="135" t="s">
        <v>41</v>
      </c>
      <c r="D173" s="135">
        <v>34492</v>
      </c>
      <c r="E173" s="267" t="s">
        <v>378</v>
      </c>
      <c r="F173" s="135" t="s">
        <v>30</v>
      </c>
      <c r="G173" s="87">
        <v>137</v>
      </c>
      <c r="H173" s="381" t="s">
        <v>430</v>
      </c>
      <c r="I173" s="382"/>
      <c r="J173" s="383"/>
      <c r="K173" s="75"/>
      <c r="L173" s="37"/>
      <c r="M173" s="38"/>
      <c r="N173" s="41"/>
      <c r="O173" s="34"/>
    </row>
    <row r="174" spans="1:15" s="2" customFormat="1" ht="38.25">
      <c r="A174" s="137" t="s">
        <v>375</v>
      </c>
      <c r="B174" s="138"/>
      <c r="C174" s="264" t="s">
        <v>17</v>
      </c>
      <c r="D174" s="264" t="s">
        <v>78</v>
      </c>
      <c r="E174" s="267" t="s">
        <v>79</v>
      </c>
      <c r="F174" s="264" t="s">
        <v>19</v>
      </c>
      <c r="G174" s="268">
        <f>(0.5*4.1)*14</f>
        <v>28.699999999999996</v>
      </c>
      <c r="H174" s="424" t="s">
        <v>481</v>
      </c>
      <c r="I174" s="425"/>
      <c r="J174" s="426"/>
      <c r="K174" s="75"/>
      <c r="L174" s="37"/>
      <c r="M174" s="38"/>
      <c r="N174" s="41"/>
      <c r="O174" s="34"/>
    </row>
    <row r="175" spans="1:15" s="2" customFormat="1" ht="38.25">
      <c r="A175" s="137" t="s">
        <v>377</v>
      </c>
      <c r="B175" s="138"/>
      <c r="C175" s="264" t="s">
        <v>17</v>
      </c>
      <c r="D175" s="264" t="s">
        <v>81</v>
      </c>
      <c r="E175" s="267" t="s">
        <v>82</v>
      </c>
      <c r="F175" s="264" t="s">
        <v>19</v>
      </c>
      <c r="G175" s="268">
        <f>(0.5*4.1)*14</f>
        <v>28.699999999999996</v>
      </c>
      <c r="H175" s="424" t="s">
        <v>481</v>
      </c>
      <c r="I175" s="425"/>
      <c r="J175" s="426"/>
      <c r="K175" s="75"/>
      <c r="L175" s="37"/>
      <c r="M175" s="38"/>
      <c r="N175" s="41"/>
      <c r="O175" s="34"/>
    </row>
    <row r="176" spans="1:15" s="2" customFormat="1" ht="12.75">
      <c r="A176" s="120" t="s">
        <v>163</v>
      </c>
      <c r="B176" s="154"/>
      <c r="C176" s="427" t="s">
        <v>379</v>
      </c>
      <c r="D176" s="428"/>
      <c r="E176" s="428"/>
      <c r="F176" s="428"/>
      <c r="G176" s="428"/>
      <c r="H176" s="428"/>
      <c r="I176" s="428"/>
      <c r="J176" s="429"/>
      <c r="K176" s="75"/>
      <c r="L176" s="37"/>
      <c r="M176" s="38"/>
      <c r="N176" s="41"/>
      <c r="O176" s="34"/>
    </row>
    <row r="177" spans="1:15" s="2" customFormat="1" ht="38.25">
      <c r="A177" s="137" t="s">
        <v>502</v>
      </c>
      <c r="B177" s="138"/>
      <c r="C177" s="264" t="s">
        <v>17</v>
      </c>
      <c r="D177" s="264" t="s">
        <v>380</v>
      </c>
      <c r="E177" s="267" t="s">
        <v>381</v>
      </c>
      <c r="F177" s="264" t="s">
        <v>19</v>
      </c>
      <c r="G177" s="268">
        <f>(6.51*2.1)*3</f>
        <v>41.013</v>
      </c>
      <c r="H177" s="424" t="s">
        <v>482</v>
      </c>
      <c r="I177" s="425"/>
      <c r="J177" s="426"/>
      <c r="K177" s="75"/>
      <c r="L177" s="37"/>
      <c r="M177" s="38"/>
      <c r="N177" s="41"/>
      <c r="O177" s="34"/>
    </row>
    <row r="178" spans="1:15" s="2" customFormat="1" ht="25.5">
      <c r="A178" s="137" t="s">
        <v>503</v>
      </c>
      <c r="B178" s="128"/>
      <c r="C178" s="292" t="s">
        <v>17</v>
      </c>
      <c r="D178" s="292" t="s">
        <v>32</v>
      </c>
      <c r="E178" s="293" t="s">
        <v>33</v>
      </c>
      <c r="F178" s="292" t="s">
        <v>34</v>
      </c>
      <c r="G178" s="268">
        <v>226.6</v>
      </c>
      <c r="H178" s="424" t="s">
        <v>142</v>
      </c>
      <c r="I178" s="425"/>
      <c r="J178" s="426"/>
      <c r="K178" s="75"/>
      <c r="L178" s="37"/>
      <c r="M178" s="38"/>
      <c r="N178" s="41"/>
      <c r="O178" s="34"/>
    </row>
    <row r="179" spans="1:15" s="2" customFormat="1" ht="25.5">
      <c r="A179" s="137" t="s">
        <v>504</v>
      </c>
      <c r="B179" s="138"/>
      <c r="C179" s="135" t="s">
        <v>41</v>
      </c>
      <c r="D179" s="135">
        <v>34492</v>
      </c>
      <c r="E179" s="136" t="s">
        <v>378</v>
      </c>
      <c r="F179" s="135" t="s">
        <v>30</v>
      </c>
      <c r="G179" s="87">
        <v>3</v>
      </c>
      <c r="H179" s="424" t="s">
        <v>142</v>
      </c>
      <c r="I179" s="425"/>
      <c r="J179" s="426"/>
      <c r="K179" s="75"/>
      <c r="L179" s="37"/>
      <c r="M179" s="38"/>
      <c r="N179" s="41"/>
      <c r="O179" s="34"/>
    </row>
    <row r="180" spans="1:15" s="2" customFormat="1" ht="38.25">
      <c r="A180" s="137" t="s">
        <v>505</v>
      </c>
      <c r="B180" s="132"/>
      <c r="C180" s="264" t="s">
        <v>17</v>
      </c>
      <c r="D180" s="264" t="s">
        <v>78</v>
      </c>
      <c r="E180" s="267" t="s">
        <v>79</v>
      </c>
      <c r="F180" s="264" t="s">
        <v>19</v>
      </c>
      <c r="G180" s="268">
        <f>(6.51*2.1)*3</f>
        <v>41.013</v>
      </c>
      <c r="H180" s="424" t="s">
        <v>482</v>
      </c>
      <c r="I180" s="425"/>
      <c r="J180" s="426"/>
      <c r="K180" s="75"/>
      <c r="L180" s="37"/>
      <c r="M180" s="38"/>
      <c r="N180" s="41"/>
      <c r="O180" s="34"/>
    </row>
    <row r="181" spans="1:15" s="2" customFormat="1" ht="38.25">
      <c r="A181" s="137" t="s">
        <v>506</v>
      </c>
      <c r="B181" s="132"/>
      <c r="C181" s="264" t="s">
        <v>17</v>
      </c>
      <c r="D181" s="264" t="s">
        <v>81</v>
      </c>
      <c r="E181" s="267" t="s">
        <v>82</v>
      </c>
      <c r="F181" s="264" t="s">
        <v>19</v>
      </c>
      <c r="G181" s="268">
        <f>(6.51*2.1)*3</f>
        <v>41.013</v>
      </c>
      <c r="H181" s="424" t="s">
        <v>482</v>
      </c>
      <c r="I181" s="425"/>
      <c r="J181" s="426"/>
      <c r="K181" s="75"/>
      <c r="L181" s="37"/>
      <c r="M181" s="38"/>
      <c r="N181" s="41"/>
      <c r="O181" s="34"/>
    </row>
    <row r="182" spans="1:15" ht="12.75" customHeight="1">
      <c r="A182" s="120">
        <v>8</v>
      </c>
      <c r="B182" s="121"/>
      <c r="C182" s="427" t="s">
        <v>83</v>
      </c>
      <c r="D182" s="428"/>
      <c r="E182" s="428"/>
      <c r="F182" s="428"/>
      <c r="G182" s="428"/>
      <c r="H182" s="428"/>
      <c r="I182" s="428"/>
      <c r="J182" s="429"/>
      <c r="L182" s="37"/>
      <c r="M182" s="33"/>
      <c r="N182" s="33"/>
      <c r="O182" s="34"/>
    </row>
    <row r="183" spans="1:15" ht="127.5">
      <c r="A183" s="137" t="s">
        <v>68</v>
      </c>
      <c r="B183" s="138"/>
      <c r="C183" s="135" t="s">
        <v>17</v>
      </c>
      <c r="D183" s="135" t="s">
        <v>85</v>
      </c>
      <c r="E183" s="136" t="s">
        <v>86</v>
      </c>
      <c r="F183" s="135" t="s">
        <v>9</v>
      </c>
      <c r="G183" s="87">
        <f>23+16+1+14+21+1+1</f>
        <v>77</v>
      </c>
      <c r="H183" s="381" t="s">
        <v>472</v>
      </c>
      <c r="I183" s="382"/>
      <c r="J183" s="383"/>
      <c r="L183" s="37"/>
      <c r="M183" s="38"/>
      <c r="N183" s="33"/>
      <c r="O183" s="34"/>
    </row>
    <row r="184" spans="1:15" ht="51">
      <c r="A184" s="137" t="s">
        <v>72</v>
      </c>
      <c r="B184" s="138"/>
      <c r="C184" s="135" t="s">
        <v>41</v>
      </c>
      <c r="D184" s="135">
        <v>93128</v>
      </c>
      <c r="E184" s="136" t="s">
        <v>88</v>
      </c>
      <c r="F184" s="135" t="s">
        <v>9</v>
      </c>
      <c r="G184" s="87">
        <v>114</v>
      </c>
      <c r="H184" s="381" t="s">
        <v>472</v>
      </c>
      <c r="I184" s="382"/>
      <c r="J184" s="383"/>
      <c r="L184" s="37"/>
      <c r="M184" s="38"/>
      <c r="N184" s="33"/>
      <c r="O184" s="34"/>
    </row>
    <row r="185" spans="1:15" ht="51">
      <c r="A185" s="137" t="s">
        <v>164</v>
      </c>
      <c r="B185" s="138"/>
      <c r="C185" s="264" t="s">
        <v>17</v>
      </c>
      <c r="D185" s="264" t="s">
        <v>474</v>
      </c>
      <c r="E185" s="267" t="s">
        <v>473</v>
      </c>
      <c r="F185" s="135" t="s">
        <v>9</v>
      </c>
      <c r="G185" s="268">
        <f>G184</f>
        <v>114</v>
      </c>
      <c r="H185" s="381" t="s">
        <v>472</v>
      </c>
      <c r="I185" s="382"/>
      <c r="J185" s="383"/>
      <c r="L185" s="37"/>
      <c r="M185" s="38"/>
      <c r="N185" s="33"/>
      <c r="O185" s="34"/>
    </row>
    <row r="186" spans="1:15" ht="12.75" customHeight="1">
      <c r="A186" s="137" t="s">
        <v>221</v>
      </c>
      <c r="B186" s="138"/>
      <c r="C186" s="135" t="s">
        <v>17</v>
      </c>
      <c r="D186" s="135" t="s">
        <v>452</v>
      </c>
      <c r="E186" s="136" t="s">
        <v>451</v>
      </c>
      <c r="F186" s="135" t="s">
        <v>9</v>
      </c>
      <c r="G186" s="87">
        <v>1</v>
      </c>
      <c r="H186" s="381" t="s">
        <v>472</v>
      </c>
      <c r="I186" s="382"/>
      <c r="J186" s="383"/>
      <c r="L186" s="37"/>
      <c r="M186" s="38"/>
      <c r="N186" s="33"/>
      <c r="O186" s="34"/>
    </row>
    <row r="187" spans="1:15" ht="25.5" customHeight="1">
      <c r="A187" s="137" t="s">
        <v>407</v>
      </c>
      <c r="B187" s="266"/>
      <c r="C187" s="264" t="s">
        <v>17</v>
      </c>
      <c r="D187" s="264" t="s">
        <v>450</v>
      </c>
      <c r="E187" s="267" t="s">
        <v>449</v>
      </c>
      <c r="F187" s="135" t="s">
        <v>9</v>
      </c>
      <c r="G187" s="268">
        <v>1</v>
      </c>
      <c r="H187" s="381" t="s">
        <v>472</v>
      </c>
      <c r="I187" s="382"/>
      <c r="J187" s="383"/>
      <c r="L187" s="37"/>
      <c r="M187" s="38"/>
      <c r="N187" s="33"/>
      <c r="O187" s="34"/>
    </row>
    <row r="188" spans="1:15" ht="25.5" customHeight="1">
      <c r="A188" s="137" t="s">
        <v>408</v>
      </c>
      <c r="B188" s="273"/>
      <c r="C188" s="135" t="s">
        <v>285</v>
      </c>
      <c r="D188" s="135">
        <v>90458</v>
      </c>
      <c r="E188" s="136" t="s">
        <v>453</v>
      </c>
      <c r="F188" s="135" t="s">
        <v>9</v>
      </c>
      <c r="G188" s="87">
        <v>1</v>
      </c>
      <c r="H188" s="381" t="s">
        <v>472</v>
      </c>
      <c r="I188" s="382"/>
      <c r="J188" s="383"/>
      <c r="L188" s="37"/>
      <c r="M188" s="38"/>
      <c r="N188" s="33"/>
      <c r="O188" s="34"/>
    </row>
    <row r="189" spans="1:15" ht="38.25" customHeight="1">
      <c r="A189" s="137" t="s">
        <v>409</v>
      </c>
      <c r="B189" s="273"/>
      <c r="C189" s="135" t="s">
        <v>17</v>
      </c>
      <c r="D189" s="135" t="s">
        <v>463</v>
      </c>
      <c r="E189" s="136" t="s">
        <v>462</v>
      </c>
      <c r="F189" s="135" t="s">
        <v>172</v>
      </c>
      <c r="G189" s="87">
        <v>84.3</v>
      </c>
      <c r="H189" s="381" t="s">
        <v>472</v>
      </c>
      <c r="I189" s="382"/>
      <c r="J189" s="383"/>
      <c r="L189" s="37"/>
      <c r="M189" s="38"/>
      <c r="N189" s="33"/>
      <c r="O189" s="34"/>
    </row>
    <row r="190" spans="1:15" ht="38.25" customHeight="1">
      <c r="A190" s="137" t="s">
        <v>410</v>
      </c>
      <c r="B190" s="273"/>
      <c r="C190" s="135" t="s">
        <v>17</v>
      </c>
      <c r="D190" s="135" t="s">
        <v>465</v>
      </c>
      <c r="E190" s="136" t="s">
        <v>464</v>
      </c>
      <c r="F190" s="135" t="s">
        <v>172</v>
      </c>
      <c r="G190" s="87">
        <v>2025.7</v>
      </c>
      <c r="H190" s="381" t="s">
        <v>472</v>
      </c>
      <c r="I190" s="382"/>
      <c r="J190" s="383"/>
      <c r="L190" s="37"/>
      <c r="M190" s="38"/>
      <c r="N190" s="33"/>
      <c r="O190" s="34"/>
    </row>
    <row r="191" spans="1:15" ht="38.25">
      <c r="A191" s="137" t="s">
        <v>411</v>
      </c>
      <c r="B191" s="273"/>
      <c r="C191" s="135" t="s">
        <v>17</v>
      </c>
      <c r="D191" s="135" t="s">
        <v>467</v>
      </c>
      <c r="E191" s="136" t="s">
        <v>466</v>
      </c>
      <c r="F191" s="135" t="s">
        <v>172</v>
      </c>
      <c r="G191" s="87">
        <v>306.4</v>
      </c>
      <c r="H191" s="381" t="s">
        <v>472</v>
      </c>
      <c r="I191" s="382"/>
      <c r="J191" s="383"/>
      <c r="L191" s="37"/>
      <c r="M191" s="38"/>
      <c r="N191" s="33"/>
      <c r="O191" s="34"/>
    </row>
    <row r="192" spans="1:15" ht="38.25">
      <c r="A192" s="137" t="s">
        <v>412</v>
      </c>
      <c r="B192" s="273"/>
      <c r="C192" s="135" t="s">
        <v>17</v>
      </c>
      <c r="D192" s="135" t="s">
        <v>469</v>
      </c>
      <c r="E192" s="136" t="s">
        <v>468</v>
      </c>
      <c r="F192" s="135" t="s">
        <v>172</v>
      </c>
      <c r="G192" s="87">
        <v>237.1</v>
      </c>
      <c r="H192" s="381" t="s">
        <v>472</v>
      </c>
      <c r="I192" s="382"/>
      <c r="J192" s="383"/>
      <c r="L192" s="37"/>
      <c r="M192" s="38"/>
      <c r="N192" s="33"/>
      <c r="O192" s="34"/>
    </row>
    <row r="193" spans="1:15" ht="12.75">
      <c r="A193" s="120">
        <v>9</v>
      </c>
      <c r="B193" s="121"/>
      <c r="C193" s="427" t="s">
        <v>226</v>
      </c>
      <c r="D193" s="428"/>
      <c r="E193" s="428"/>
      <c r="F193" s="428"/>
      <c r="G193" s="428"/>
      <c r="H193" s="428"/>
      <c r="I193" s="428"/>
      <c r="J193" s="429"/>
      <c r="L193" s="37"/>
      <c r="M193" s="38"/>
      <c r="N193" s="33"/>
      <c r="O193" s="34"/>
    </row>
    <row r="194" spans="1:15" ht="51">
      <c r="A194" s="299" t="s">
        <v>76</v>
      </c>
      <c r="B194" s="150"/>
      <c r="C194" s="135" t="s">
        <v>17</v>
      </c>
      <c r="D194" s="135" t="s">
        <v>235</v>
      </c>
      <c r="E194" s="136" t="s">
        <v>236</v>
      </c>
      <c r="F194" s="135" t="s">
        <v>9</v>
      </c>
      <c r="G194" s="87">
        <v>1</v>
      </c>
      <c r="H194" s="381">
        <v>1</v>
      </c>
      <c r="I194" s="382"/>
      <c r="J194" s="383"/>
      <c r="L194" s="37"/>
      <c r="M194" s="38"/>
      <c r="N194" s="33"/>
      <c r="O194" s="34"/>
    </row>
    <row r="195" spans="1:15" ht="51">
      <c r="A195" s="299" t="s">
        <v>80</v>
      </c>
      <c r="B195" s="150"/>
      <c r="C195" s="135" t="s">
        <v>17</v>
      </c>
      <c r="D195" s="135" t="s">
        <v>178</v>
      </c>
      <c r="E195" s="136" t="s">
        <v>179</v>
      </c>
      <c r="F195" s="135" t="s">
        <v>9</v>
      </c>
      <c r="G195" s="87">
        <v>2</v>
      </c>
      <c r="H195" s="381">
        <v>2</v>
      </c>
      <c r="I195" s="382"/>
      <c r="J195" s="383"/>
      <c r="L195" s="37"/>
      <c r="M195" s="38"/>
      <c r="N195" s="33"/>
      <c r="O195" s="34"/>
    </row>
    <row r="196" spans="1:15" ht="51">
      <c r="A196" s="299" t="s">
        <v>165</v>
      </c>
      <c r="B196" s="150"/>
      <c r="C196" s="135" t="s">
        <v>17</v>
      </c>
      <c r="D196" s="135" t="s">
        <v>181</v>
      </c>
      <c r="E196" s="136" t="s">
        <v>182</v>
      </c>
      <c r="F196" s="135" t="s">
        <v>9</v>
      </c>
      <c r="G196" s="87">
        <v>6</v>
      </c>
      <c r="H196" s="381">
        <v>6</v>
      </c>
      <c r="I196" s="382"/>
      <c r="J196" s="383"/>
      <c r="L196" s="37"/>
      <c r="M196" s="38"/>
      <c r="N196" s="33"/>
      <c r="O196" s="34"/>
    </row>
    <row r="197" spans="1:15" ht="51">
      <c r="A197" s="299" t="s">
        <v>166</v>
      </c>
      <c r="B197" s="150"/>
      <c r="C197" s="135" t="s">
        <v>17</v>
      </c>
      <c r="D197" s="135" t="s">
        <v>382</v>
      </c>
      <c r="E197" s="136" t="s">
        <v>383</v>
      </c>
      <c r="F197" s="135" t="s">
        <v>9</v>
      </c>
      <c r="G197" s="87">
        <v>2</v>
      </c>
      <c r="H197" s="381">
        <v>2</v>
      </c>
      <c r="I197" s="382"/>
      <c r="J197" s="383"/>
      <c r="L197" s="37"/>
      <c r="M197" s="38"/>
      <c r="N197" s="33"/>
      <c r="O197" s="34"/>
    </row>
    <row r="198" spans="1:15" ht="76.5">
      <c r="A198" s="299" t="s">
        <v>167</v>
      </c>
      <c r="B198" s="300"/>
      <c r="C198" s="135" t="s">
        <v>17</v>
      </c>
      <c r="D198" s="135" t="s">
        <v>237</v>
      </c>
      <c r="E198" s="136" t="s">
        <v>238</v>
      </c>
      <c r="F198" s="135" t="s">
        <v>9</v>
      </c>
      <c r="G198" s="87">
        <v>6</v>
      </c>
      <c r="H198" s="381">
        <v>6</v>
      </c>
      <c r="I198" s="382"/>
      <c r="J198" s="383"/>
      <c r="L198" s="37"/>
      <c r="M198" s="38"/>
      <c r="N198" s="33"/>
      <c r="O198" s="34"/>
    </row>
    <row r="199" spans="1:15" ht="51">
      <c r="A199" s="299" t="s">
        <v>168</v>
      </c>
      <c r="B199" s="150"/>
      <c r="C199" s="135" t="s">
        <v>17</v>
      </c>
      <c r="D199" s="135" t="s">
        <v>185</v>
      </c>
      <c r="E199" s="136" t="s">
        <v>399</v>
      </c>
      <c r="F199" s="135" t="s">
        <v>9</v>
      </c>
      <c r="G199" s="87">
        <v>6</v>
      </c>
      <c r="H199" s="381">
        <v>6</v>
      </c>
      <c r="I199" s="382"/>
      <c r="J199" s="383"/>
      <c r="L199" s="37"/>
      <c r="M199" s="38"/>
      <c r="N199" s="33"/>
      <c r="O199" s="34"/>
    </row>
    <row r="200" spans="1:15" ht="76.5">
      <c r="A200" s="299" t="s">
        <v>169</v>
      </c>
      <c r="B200" s="150"/>
      <c r="C200" s="135" t="s">
        <v>17</v>
      </c>
      <c r="D200" s="135" t="s">
        <v>384</v>
      </c>
      <c r="E200" s="136" t="s">
        <v>385</v>
      </c>
      <c r="F200" s="135" t="s">
        <v>9</v>
      </c>
      <c r="G200" s="87">
        <v>1</v>
      </c>
      <c r="H200" s="381">
        <v>1</v>
      </c>
      <c r="I200" s="382"/>
      <c r="J200" s="383"/>
      <c r="L200" s="37"/>
      <c r="M200" s="38"/>
      <c r="N200" s="33"/>
      <c r="O200" s="34"/>
    </row>
    <row r="201" spans="1:15" ht="38.25">
      <c r="A201" s="299" t="s">
        <v>170</v>
      </c>
      <c r="B201" s="150"/>
      <c r="C201" s="135" t="s">
        <v>17</v>
      </c>
      <c r="D201" s="135" t="s">
        <v>187</v>
      </c>
      <c r="E201" s="136" t="s">
        <v>188</v>
      </c>
      <c r="F201" s="135" t="s">
        <v>9</v>
      </c>
      <c r="G201" s="87">
        <v>6</v>
      </c>
      <c r="H201" s="381">
        <v>6</v>
      </c>
      <c r="I201" s="382"/>
      <c r="J201" s="383"/>
      <c r="L201" s="37"/>
      <c r="M201" s="38"/>
      <c r="N201" s="33"/>
      <c r="O201" s="34"/>
    </row>
    <row r="202" spans="1:15" ht="89.25">
      <c r="A202" s="299" t="s">
        <v>171</v>
      </c>
      <c r="B202" s="150"/>
      <c r="C202" s="135" t="s">
        <v>17</v>
      </c>
      <c r="D202" s="135" t="s">
        <v>239</v>
      </c>
      <c r="E202" s="136" t="s">
        <v>240</v>
      </c>
      <c r="F202" s="135" t="s">
        <v>9</v>
      </c>
      <c r="G202" s="87">
        <v>7</v>
      </c>
      <c r="H202" s="381">
        <v>7</v>
      </c>
      <c r="I202" s="382"/>
      <c r="J202" s="383"/>
      <c r="L202" s="37"/>
      <c r="M202" s="38"/>
      <c r="N202" s="33"/>
      <c r="O202" s="34"/>
    </row>
    <row r="203" spans="1:15" ht="63.75">
      <c r="A203" s="299" t="s">
        <v>386</v>
      </c>
      <c r="B203" s="150"/>
      <c r="C203" s="135" t="s">
        <v>17</v>
      </c>
      <c r="D203" s="135" t="s">
        <v>387</v>
      </c>
      <c r="E203" s="136" t="s">
        <v>388</v>
      </c>
      <c r="F203" s="135" t="s">
        <v>9</v>
      </c>
      <c r="G203" s="87">
        <v>6</v>
      </c>
      <c r="H203" s="381">
        <v>6</v>
      </c>
      <c r="I203" s="382"/>
      <c r="J203" s="383"/>
      <c r="L203" s="37"/>
      <c r="M203" s="38"/>
      <c r="N203" s="33"/>
      <c r="O203" s="34"/>
    </row>
    <row r="204" spans="1:15" ht="76.5">
      <c r="A204" s="299" t="s">
        <v>389</v>
      </c>
      <c r="B204" s="150"/>
      <c r="C204" s="135" t="s">
        <v>17</v>
      </c>
      <c r="D204" s="135" t="s">
        <v>247</v>
      </c>
      <c r="E204" s="136" t="s">
        <v>246</v>
      </c>
      <c r="F204" s="135" t="s">
        <v>9</v>
      </c>
      <c r="G204" s="87">
        <v>2</v>
      </c>
      <c r="H204" s="381">
        <v>2</v>
      </c>
      <c r="I204" s="382"/>
      <c r="J204" s="383"/>
      <c r="L204" s="37"/>
      <c r="M204" s="38"/>
      <c r="N204" s="33"/>
      <c r="O204" s="34"/>
    </row>
    <row r="205" spans="1:15" ht="25.5">
      <c r="A205" s="299" t="s">
        <v>390</v>
      </c>
      <c r="B205" s="150"/>
      <c r="C205" s="135" t="s">
        <v>17</v>
      </c>
      <c r="D205" s="135" t="s">
        <v>280</v>
      </c>
      <c r="E205" s="136" t="s">
        <v>279</v>
      </c>
      <c r="F205" s="135" t="s">
        <v>19</v>
      </c>
      <c r="G205" s="87">
        <v>1.11</v>
      </c>
      <c r="H205" s="381" t="s">
        <v>432</v>
      </c>
      <c r="I205" s="382"/>
      <c r="J205" s="383"/>
      <c r="L205" s="37"/>
      <c r="M205" s="38"/>
      <c r="N205" s="33"/>
      <c r="O205" s="34"/>
    </row>
    <row r="206" spans="1:15" ht="51">
      <c r="A206" s="299" t="s">
        <v>391</v>
      </c>
      <c r="B206" s="138"/>
      <c r="C206" s="135" t="s">
        <v>17</v>
      </c>
      <c r="D206" s="135" t="s">
        <v>248</v>
      </c>
      <c r="E206" s="153" t="s">
        <v>249</v>
      </c>
      <c r="F206" s="135" t="s">
        <v>9</v>
      </c>
      <c r="G206" s="87">
        <v>6</v>
      </c>
      <c r="H206" s="381">
        <v>6</v>
      </c>
      <c r="I206" s="382"/>
      <c r="J206" s="383"/>
      <c r="L206" s="37"/>
      <c r="M206" s="38"/>
      <c r="N206" s="33"/>
      <c r="O206" s="34"/>
    </row>
    <row r="207" spans="1:15" ht="51">
      <c r="A207" s="299" t="s">
        <v>392</v>
      </c>
      <c r="B207" s="138"/>
      <c r="C207" s="135" t="s">
        <v>17</v>
      </c>
      <c r="D207" s="135" t="s">
        <v>243</v>
      </c>
      <c r="E207" s="136" t="s">
        <v>244</v>
      </c>
      <c r="F207" s="135" t="s">
        <v>9</v>
      </c>
      <c r="G207" s="87">
        <v>1</v>
      </c>
      <c r="H207" s="381">
        <v>1</v>
      </c>
      <c r="I207" s="382"/>
      <c r="J207" s="383"/>
      <c r="L207" s="37"/>
      <c r="M207" s="38"/>
      <c r="N207" s="33"/>
      <c r="O207" s="34"/>
    </row>
    <row r="208" spans="1:15" ht="12.75">
      <c r="A208" s="299" t="s">
        <v>393</v>
      </c>
      <c r="B208" s="138"/>
      <c r="C208" s="135" t="s">
        <v>17</v>
      </c>
      <c r="D208" s="135" t="s">
        <v>274</v>
      </c>
      <c r="E208" s="136" t="s">
        <v>273</v>
      </c>
      <c r="F208" s="135" t="s">
        <v>9</v>
      </c>
      <c r="G208" s="87">
        <v>6</v>
      </c>
      <c r="H208" s="381">
        <v>6</v>
      </c>
      <c r="I208" s="382"/>
      <c r="J208" s="383"/>
      <c r="L208" s="37"/>
      <c r="M208" s="38"/>
      <c r="N208" s="33"/>
      <c r="O208" s="34"/>
    </row>
    <row r="209" spans="1:15" ht="12.75">
      <c r="A209" s="155">
        <v>10</v>
      </c>
      <c r="B209" s="156"/>
      <c r="C209" s="427" t="s">
        <v>475</v>
      </c>
      <c r="D209" s="428"/>
      <c r="E209" s="428"/>
      <c r="F209" s="428"/>
      <c r="G209" s="428"/>
      <c r="H209" s="428"/>
      <c r="I209" s="428"/>
      <c r="J209" s="429"/>
      <c r="L209" s="37"/>
      <c r="M209" s="33"/>
      <c r="N209" s="33"/>
      <c r="O209" s="34"/>
    </row>
    <row r="210" spans="1:15" ht="51">
      <c r="A210" s="151" t="s">
        <v>84</v>
      </c>
      <c r="B210" s="149"/>
      <c r="C210" s="275" t="s">
        <v>17</v>
      </c>
      <c r="D210" s="276" t="s">
        <v>394</v>
      </c>
      <c r="E210" s="318" t="s">
        <v>415</v>
      </c>
      <c r="F210" s="275" t="s">
        <v>55</v>
      </c>
      <c r="G210" s="268">
        <v>4</v>
      </c>
      <c r="H210" s="384">
        <v>4</v>
      </c>
      <c r="I210" s="385"/>
      <c r="J210" s="386"/>
      <c r="L210" s="37"/>
      <c r="M210" s="38"/>
      <c r="N210" s="33"/>
      <c r="O210" s="34"/>
    </row>
    <row r="211" spans="1:15" ht="51">
      <c r="A211" s="151" t="s">
        <v>87</v>
      </c>
      <c r="B211" s="149"/>
      <c r="C211" s="275" t="s">
        <v>17</v>
      </c>
      <c r="D211" s="276" t="s">
        <v>493</v>
      </c>
      <c r="E211" s="318" t="s">
        <v>492</v>
      </c>
      <c r="F211" s="275" t="s">
        <v>55</v>
      </c>
      <c r="G211" s="268">
        <v>4</v>
      </c>
      <c r="H211" s="384">
        <v>4</v>
      </c>
      <c r="I211" s="385"/>
      <c r="J211" s="386"/>
      <c r="L211" s="37"/>
      <c r="M211" s="38"/>
      <c r="N211" s="33"/>
      <c r="O211" s="34"/>
    </row>
    <row r="212" spans="1:15" ht="51">
      <c r="A212" s="151" t="s">
        <v>173</v>
      </c>
      <c r="B212" s="149"/>
      <c r="C212" s="275" t="s">
        <v>17</v>
      </c>
      <c r="D212" s="276" t="s">
        <v>494</v>
      </c>
      <c r="E212" s="318" t="s">
        <v>495</v>
      </c>
      <c r="F212" s="275" t="s">
        <v>55</v>
      </c>
      <c r="G212" s="268">
        <v>2</v>
      </c>
      <c r="H212" s="384">
        <v>2</v>
      </c>
      <c r="I212" s="385"/>
      <c r="J212" s="386"/>
      <c r="L212" s="37"/>
      <c r="M212" s="38"/>
      <c r="N212" s="33"/>
      <c r="O212" s="34"/>
    </row>
    <row r="213" spans="1:15" ht="12.75">
      <c r="A213" s="151" t="s">
        <v>174</v>
      </c>
      <c r="B213" s="149"/>
      <c r="C213" s="135" t="s">
        <v>17</v>
      </c>
      <c r="D213" s="135" t="s">
        <v>256</v>
      </c>
      <c r="E213" s="136" t="s">
        <v>395</v>
      </c>
      <c r="F213" s="135" t="s">
        <v>9</v>
      </c>
      <c r="G213" s="87">
        <v>2</v>
      </c>
      <c r="H213" s="381">
        <v>2</v>
      </c>
      <c r="I213" s="382"/>
      <c r="J213" s="383"/>
      <c r="L213" s="37"/>
      <c r="M213" s="38"/>
      <c r="N213" s="33"/>
      <c r="O213" s="34"/>
    </row>
    <row r="214" spans="1:15" ht="63.75">
      <c r="A214" s="151" t="s">
        <v>175</v>
      </c>
      <c r="B214" s="149"/>
      <c r="C214" s="135" t="s">
        <v>17</v>
      </c>
      <c r="D214" s="135" t="s">
        <v>264</v>
      </c>
      <c r="E214" s="136" t="s">
        <v>396</v>
      </c>
      <c r="F214" s="135" t="s">
        <v>19</v>
      </c>
      <c r="G214" s="87">
        <v>3.15</v>
      </c>
      <c r="H214" s="381" t="s">
        <v>418</v>
      </c>
      <c r="I214" s="382"/>
      <c r="J214" s="383"/>
      <c r="L214" s="37"/>
      <c r="M214" s="38"/>
      <c r="N214" s="33"/>
      <c r="O214" s="34"/>
    </row>
    <row r="215" spans="1:15" ht="38.25">
      <c r="A215" s="151" t="s">
        <v>176</v>
      </c>
      <c r="B215" s="149"/>
      <c r="C215" s="135" t="s">
        <v>17</v>
      </c>
      <c r="D215" s="135" t="s">
        <v>268</v>
      </c>
      <c r="E215" s="136" t="s">
        <v>267</v>
      </c>
      <c r="F215" s="135" t="s">
        <v>19</v>
      </c>
      <c r="G215" s="87">
        <v>14.91</v>
      </c>
      <c r="H215" s="381" t="s">
        <v>418</v>
      </c>
      <c r="I215" s="382"/>
      <c r="J215" s="383"/>
      <c r="L215" s="37"/>
      <c r="M215" s="38"/>
      <c r="N215" s="33"/>
      <c r="O215" s="34"/>
    </row>
    <row r="216" spans="1:15" ht="25.5">
      <c r="A216" s="151" t="s">
        <v>177</v>
      </c>
      <c r="B216" s="149"/>
      <c r="C216" s="135" t="s">
        <v>17</v>
      </c>
      <c r="D216" s="135" t="s">
        <v>277</v>
      </c>
      <c r="E216" s="136" t="s">
        <v>278</v>
      </c>
      <c r="F216" s="135" t="s">
        <v>19</v>
      </c>
      <c r="G216" s="87">
        <v>3</v>
      </c>
      <c r="H216" s="381" t="s">
        <v>418</v>
      </c>
      <c r="I216" s="382"/>
      <c r="J216" s="383"/>
      <c r="L216" s="37"/>
      <c r="M216" s="38"/>
      <c r="N216" s="33"/>
      <c r="O216" s="34"/>
    </row>
    <row r="217" spans="1:15" s="33" customFormat="1" ht="25.5">
      <c r="A217" s="151" t="s">
        <v>180</v>
      </c>
      <c r="B217" s="149"/>
      <c r="C217" s="135" t="s">
        <v>17</v>
      </c>
      <c r="D217" s="135" t="s">
        <v>150</v>
      </c>
      <c r="E217" s="136" t="s">
        <v>397</v>
      </c>
      <c r="F217" s="135" t="s">
        <v>19</v>
      </c>
      <c r="G217" s="87">
        <v>1.5</v>
      </c>
      <c r="H217" s="381" t="s">
        <v>418</v>
      </c>
      <c r="I217" s="382"/>
      <c r="J217" s="383"/>
      <c r="K217" s="75"/>
      <c r="L217" s="37"/>
      <c r="M217" s="38"/>
      <c r="O217" s="34"/>
    </row>
    <row r="218" spans="1:15" ht="25.5">
      <c r="A218" s="151" t="s">
        <v>461</v>
      </c>
      <c r="B218" s="152"/>
      <c r="C218" s="135" t="s">
        <v>17</v>
      </c>
      <c r="D218" s="135" t="s">
        <v>288</v>
      </c>
      <c r="E218" s="136" t="s">
        <v>287</v>
      </c>
      <c r="F218" s="135" t="s">
        <v>19</v>
      </c>
      <c r="G218" s="87">
        <v>50</v>
      </c>
      <c r="H218" s="381" t="s">
        <v>418</v>
      </c>
      <c r="I218" s="382"/>
      <c r="J218" s="383"/>
      <c r="L218" s="37"/>
      <c r="M218" s="38"/>
      <c r="N218" s="33"/>
      <c r="O218" s="34"/>
    </row>
    <row r="219" spans="1:15" ht="12.75">
      <c r="A219" s="120">
        <v>11</v>
      </c>
      <c r="B219" s="121"/>
      <c r="C219" s="427" t="s">
        <v>89</v>
      </c>
      <c r="D219" s="428"/>
      <c r="E219" s="428"/>
      <c r="F219" s="428"/>
      <c r="G219" s="428"/>
      <c r="H219" s="428"/>
      <c r="I219" s="428"/>
      <c r="J219" s="429"/>
      <c r="L219" s="37"/>
      <c r="M219" s="33"/>
      <c r="N219" s="33"/>
      <c r="O219" s="34"/>
    </row>
    <row r="220" spans="1:15" ht="13.5" thickBot="1">
      <c r="A220" s="137" t="s">
        <v>90</v>
      </c>
      <c r="B220" s="138"/>
      <c r="C220" s="135" t="s">
        <v>17</v>
      </c>
      <c r="D220" s="135" t="s">
        <v>91</v>
      </c>
      <c r="E220" s="136" t="s">
        <v>92</v>
      </c>
      <c r="F220" s="135" t="s">
        <v>19</v>
      </c>
      <c r="G220" s="87">
        <v>1148.52</v>
      </c>
      <c r="H220" s="381" t="s">
        <v>431</v>
      </c>
      <c r="I220" s="382"/>
      <c r="J220" s="383"/>
      <c r="L220" s="37"/>
      <c r="M220" s="38"/>
      <c r="N220" s="33"/>
      <c r="O220" s="34"/>
    </row>
    <row r="221" spans="1:15" ht="11.25" customHeight="1">
      <c r="A221" s="353" t="s">
        <v>435</v>
      </c>
      <c r="B221" s="354"/>
      <c r="C221" s="354"/>
      <c r="D221" s="354"/>
      <c r="E221" s="354"/>
      <c r="F221" s="354"/>
      <c r="G221" s="354"/>
      <c r="H221" s="354"/>
      <c r="I221" s="354"/>
      <c r="J221" s="379"/>
      <c r="L221" s="37"/>
      <c r="M221" s="33"/>
      <c r="N221" s="33"/>
      <c r="O221" s="34"/>
    </row>
    <row r="222" spans="1:15" ht="12" customHeight="1" thickBot="1">
      <c r="A222" s="355"/>
      <c r="B222" s="356"/>
      <c r="C222" s="356"/>
      <c r="D222" s="356"/>
      <c r="E222" s="356"/>
      <c r="F222" s="356"/>
      <c r="G222" s="356"/>
      <c r="H222" s="356"/>
      <c r="I222" s="356"/>
      <c r="J222" s="380"/>
      <c r="L222" s="37"/>
      <c r="M222" s="33"/>
      <c r="N222" s="33"/>
      <c r="O222" s="34"/>
    </row>
    <row r="223" spans="1:14" ht="16.5" thickBot="1">
      <c r="A223" s="301"/>
      <c r="B223" s="157"/>
      <c r="C223" s="157"/>
      <c r="D223" s="157"/>
      <c r="E223" s="157"/>
      <c r="F223" s="157"/>
      <c r="G223" s="157"/>
      <c r="H223" s="157"/>
      <c r="I223" s="158"/>
      <c r="J223" s="302"/>
      <c r="K223" s="73"/>
      <c r="L223" s="37"/>
      <c r="M223" s="50"/>
      <c r="N223" s="50"/>
    </row>
    <row r="224" spans="1:15" ht="24" thickBot="1">
      <c r="A224" s="360" t="s">
        <v>401</v>
      </c>
      <c r="B224" s="361"/>
      <c r="C224" s="361"/>
      <c r="D224" s="361"/>
      <c r="E224" s="361"/>
      <c r="F224" s="361"/>
      <c r="G224" s="361"/>
      <c r="H224" s="361"/>
      <c r="I224" s="361"/>
      <c r="J224" s="362"/>
      <c r="L224" s="37"/>
      <c r="M224" s="33"/>
      <c r="N224" s="33"/>
      <c r="O224" s="33"/>
    </row>
    <row r="225" spans="1:15" s="5" customFormat="1" ht="15.75" thickBot="1">
      <c r="A225" s="467"/>
      <c r="B225" s="468"/>
      <c r="C225" s="468"/>
      <c r="D225" s="468"/>
      <c r="E225" s="468"/>
      <c r="F225" s="468"/>
      <c r="G225" s="468"/>
      <c r="H225" s="468"/>
      <c r="I225" s="468"/>
      <c r="J225" s="469"/>
      <c r="K225" s="199"/>
      <c r="L225" s="37"/>
      <c r="M225" s="35"/>
      <c r="N225" s="35"/>
      <c r="O225" s="35"/>
    </row>
    <row r="226" spans="1:15" ht="25.5">
      <c r="A226" s="281" t="s">
        <v>5</v>
      </c>
      <c r="B226" s="282"/>
      <c r="C226" s="287" t="s">
        <v>6</v>
      </c>
      <c r="D226" s="287" t="s">
        <v>7</v>
      </c>
      <c r="E226" s="288" t="s">
        <v>8</v>
      </c>
      <c r="F226" s="288" t="s">
        <v>9</v>
      </c>
      <c r="G226" s="289" t="s">
        <v>10</v>
      </c>
      <c r="H226" s="289" t="s">
        <v>12</v>
      </c>
      <c r="I226" s="288" t="s">
        <v>13</v>
      </c>
      <c r="J226" s="290" t="s">
        <v>14</v>
      </c>
      <c r="L226" s="37"/>
      <c r="M226" s="33"/>
      <c r="N226" s="33"/>
      <c r="O226" s="33"/>
    </row>
    <row r="227" spans="1:15" ht="12.75">
      <c r="A227" s="281">
        <v>1</v>
      </c>
      <c r="B227" s="282"/>
      <c r="C227" s="396" t="s">
        <v>24</v>
      </c>
      <c r="D227" s="397"/>
      <c r="E227" s="397"/>
      <c r="F227" s="397"/>
      <c r="G227" s="397"/>
      <c r="H227" s="397"/>
      <c r="I227" s="397"/>
      <c r="J227" s="398"/>
      <c r="L227" s="37"/>
      <c r="M227" s="33"/>
      <c r="N227" s="33"/>
      <c r="O227" s="33"/>
    </row>
    <row r="228" spans="1:15" ht="12.75">
      <c r="A228" s="285" t="s">
        <v>16</v>
      </c>
      <c r="B228" s="286"/>
      <c r="C228" s="420" t="s">
        <v>39</v>
      </c>
      <c r="D228" s="421"/>
      <c r="E228" s="421"/>
      <c r="F228" s="421"/>
      <c r="G228" s="421"/>
      <c r="H228" s="421"/>
      <c r="I228" s="421"/>
      <c r="J228" s="422"/>
      <c r="L228" s="37"/>
      <c r="M228" s="33"/>
      <c r="N228" s="33"/>
      <c r="O228" s="33"/>
    </row>
    <row r="229" spans="1:15" ht="51">
      <c r="A229" s="163" t="s">
        <v>338</v>
      </c>
      <c r="B229" s="164"/>
      <c r="C229" s="162" t="s">
        <v>41</v>
      </c>
      <c r="D229" s="162">
        <v>92441</v>
      </c>
      <c r="E229" s="165" t="s">
        <v>42</v>
      </c>
      <c r="F229" s="162" t="s">
        <v>19</v>
      </c>
      <c r="G229" s="161">
        <v>104.2</v>
      </c>
      <c r="H229" s="376" t="s">
        <v>430</v>
      </c>
      <c r="I229" s="377"/>
      <c r="J229" s="378"/>
      <c r="L229" s="37"/>
      <c r="M229" s="38"/>
      <c r="N229" s="33"/>
      <c r="O229" s="33"/>
    </row>
    <row r="230" spans="1:15" ht="25.5">
      <c r="A230" s="163" t="s">
        <v>339</v>
      </c>
      <c r="B230" s="164"/>
      <c r="C230" s="162" t="s">
        <v>17</v>
      </c>
      <c r="D230" s="162" t="s">
        <v>32</v>
      </c>
      <c r="E230" s="166" t="s">
        <v>33</v>
      </c>
      <c r="F230" s="162" t="s">
        <v>34</v>
      </c>
      <c r="G230" s="161">
        <v>952.7</v>
      </c>
      <c r="H230" s="376" t="s">
        <v>430</v>
      </c>
      <c r="I230" s="377"/>
      <c r="J230" s="378"/>
      <c r="L230" s="37"/>
      <c r="M230" s="38"/>
      <c r="N230" s="33"/>
      <c r="O230" s="33"/>
    </row>
    <row r="231" spans="1:15" ht="38.25">
      <c r="A231" s="163" t="s">
        <v>340</v>
      </c>
      <c r="B231" s="167"/>
      <c r="C231" s="168" t="s">
        <v>17</v>
      </c>
      <c r="D231" s="168" t="s">
        <v>45</v>
      </c>
      <c r="E231" s="165" t="s">
        <v>37</v>
      </c>
      <c r="F231" s="162" t="s">
        <v>30</v>
      </c>
      <c r="G231" s="161">
        <v>8</v>
      </c>
      <c r="H231" s="376" t="s">
        <v>430</v>
      </c>
      <c r="I231" s="377"/>
      <c r="J231" s="378"/>
      <c r="L231" s="37"/>
      <c r="M231" s="38"/>
      <c r="N231" s="33"/>
      <c r="O231" s="33"/>
    </row>
    <row r="232" spans="1:15" ht="12.75">
      <c r="A232" s="285" t="s">
        <v>20</v>
      </c>
      <c r="B232" s="286"/>
      <c r="C232" s="420" t="s">
        <v>47</v>
      </c>
      <c r="D232" s="421"/>
      <c r="E232" s="421"/>
      <c r="F232" s="421"/>
      <c r="G232" s="421"/>
      <c r="H232" s="421"/>
      <c r="I232" s="421"/>
      <c r="J232" s="422"/>
      <c r="L232" s="37"/>
      <c r="M232" s="33"/>
      <c r="N232" s="33"/>
      <c r="O232" s="33"/>
    </row>
    <row r="233" spans="1:15" ht="51">
      <c r="A233" s="163" t="s">
        <v>341</v>
      </c>
      <c r="B233" s="164"/>
      <c r="C233" s="162" t="s">
        <v>41</v>
      </c>
      <c r="D233" s="162">
        <v>92453</v>
      </c>
      <c r="E233" s="165" t="s">
        <v>49</v>
      </c>
      <c r="F233" s="162" t="s">
        <v>19</v>
      </c>
      <c r="G233" s="161">
        <v>238</v>
      </c>
      <c r="H233" s="376" t="s">
        <v>430</v>
      </c>
      <c r="I233" s="377"/>
      <c r="J233" s="378"/>
      <c r="L233" s="37"/>
      <c r="M233" s="38"/>
      <c r="N233" s="33"/>
      <c r="O233" s="33"/>
    </row>
    <row r="234" spans="1:15" s="6" customFormat="1" ht="25.5">
      <c r="A234" s="163" t="s">
        <v>342</v>
      </c>
      <c r="B234" s="164"/>
      <c r="C234" s="168" t="s">
        <v>17</v>
      </c>
      <c r="D234" s="162" t="s">
        <v>32</v>
      </c>
      <c r="E234" s="166" t="s">
        <v>33</v>
      </c>
      <c r="F234" s="162" t="s">
        <v>34</v>
      </c>
      <c r="G234" s="161">
        <v>1183</v>
      </c>
      <c r="H234" s="376" t="s">
        <v>430</v>
      </c>
      <c r="I234" s="377"/>
      <c r="J234" s="378"/>
      <c r="K234" s="75"/>
      <c r="L234" s="37"/>
      <c r="M234" s="38"/>
      <c r="N234" s="33"/>
      <c r="O234" s="33"/>
    </row>
    <row r="235" spans="1:15" ht="38.25">
      <c r="A235" s="163" t="s">
        <v>343</v>
      </c>
      <c r="B235" s="167"/>
      <c r="C235" s="168" t="s">
        <v>17</v>
      </c>
      <c r="D235" s="168" t="s">
        <v>45</v>
      </c>
      <c r="E235" s="165" t="s">
        <v>37</v>
      </c>
      <c r="F235" s="162" t="s">
        <v>30</v>
      </c>
      <c r="G235" s="161">
        <v>18.5</v>
      </c>
      <c r="H235" s="376" t="s">
        <v>430</v>
      </c>
      <c r="I235" s="377"/>
      <c r="J235" s="378"/>
      <c r="L235" s="37"/>
      <c r="M235" s="38"/>
      <c r="N235" s="33"/>
      <c r="O235" s="33"/>
    </row>
    <row r="236" spans="1:15" ht="12.75">
      <c r="A236" s="283" t="s">
        <v>192</v>
      </c>
      <c r="B236" s="284"/>
      <c r="C236" s="396" t="s">
        <v>147</v>
      </c>
      <c r="D236" s="397"/>
      <c r="E236" s="397"/>
      <c r="F236" s="397"/>
      <c r="G236" s="397"/>
      <c r="H236" s="397"/>
      <c r="I236" s="397"/>
      <c r="J236" s="398"/>
      <c r="L236" s="37"/>
      <c r="M236" s="38"/>
      <c r="N236" s="33"/>
      <c r="O236" s="33"/>
    </row>
    <row r="237" spans="1:15" ht="38.25">
      <c r="A237" s="171" t="s">
        <v>402</v>
      </c>
      <c r="B237" s="189"/>
      <c r="C237" s="181" t="s">
        <v>17</v>
      </c>
      <c r="D237" s="174" t="s">
        <v>290</v>
      </c>
      <c r="E237" s="179" t="s">
        <v>289</v>
      </c>
      <c r="F237" s="181" t="s">
        <v>218</v>
      </c>
      <c r="G237" s="161">
        <v>378.26</v>
      </c>
      <c r="H237" s="376" t="s">
        <v>430</v>
      </c>
      <c r="I237" s="377"/>
      <c r="J237" s="378"/>
      <c r="L237" s="37"/>
      <c r="M237" s="38"/>
      <c r="N237" s="33"/>
      <c r="O237" s="33"/>
    </row>
    <row r="238" spans="1:15" ht="12.75">
      <c r="A238" s="281">
        <v>2</v>
      </c>
      <c r="B238" s="282"/>
      <c r="C238" s="396" t="s">
        <v>215</v>
      </c>
      <c r="D238" s="397"/>
      <c r="E238" s="397"/>
      <c r="F238" s="397"/>
      <c r="G238" s="397"/>
      <c r="H238" s="397"/>
      <c r="I238" s="397"/>
      <c r="J238" s="398"/>
      <c r="L238" s="37"/>
      <c r="M238" s="33"/>
      <c r="N238" s="33"/>
      <c r="O238" s="33"/>
    </row>
    <row r="239" spans="1:15" s="2" customFormat="1" ht="12.75" customHeight="1">
      <c r="A239" s="171" t="s">
        <v>25</v>
      </c>
      <c r="B239" s="170"/>
      <c r="C239" s="160" t="s">
        <v>17</v>
      </c>
      <c r="D239" s="160" t="s">
        <v>216</v>
      </c>
      <c r="E239" s="160" t="s">
        <v>217</v>
      </c>
      <c r="F239" s="162" t="s">
        <v>218</v>
      </c>
      <c r="G239" s="161">
        <v>374.5</v>
      </c>
      <c r="H239" s="376" t="s">
        <v>431</v>
      </c>
      <c r="I239" s="377"/>
      <c r="J239" s="378"/>
      <c r="K239" s="200"/>
      <c r="L239" s="37"/>
      <c r="M239" s="48"/>
      <c r="N239" s="41"/>
      <c r="O239" s="41"/>
    </row>
    <row r="240" spans="1:15" s="2" customFormat="1" ht="25.5">
      <c r="A240" s="171" t="s">
        <v>38</v>
      </c>
      <c r="B240" s="170"/>
      <c r="C240" s="160" t="s">
        <v>17</v>
      </c>
      <c r="D240" s="160" t="s">
        <v>403</v>
      </c>
      <c r="E240" s="160" t="s">
        <v>262</v>
      </c>
      <c r="F240" s="160" t="s">
        <v>19</v>
      </c>
      <c r="G240" s="161">
        <v>374.5</v>
      </c>
      <c r="H240" s="376" t="s">
        <v>431</v>
      </c>
      <c r="I240" s="377"/>
      <c r="J240" s="378"/>
      <c r="K240" s="200"/>
      <c r="L240" s="37"/>
      <c r="M240" s="48"/>
      <c r="N240" s="41"/>
      <c r="O240" s="41"/>
    </row>
    <row r="241" spans="1:15" s="2" customFormat="1" ht="38.25">
      <c r="A241" s="171" t="s">
        <v>46</v>
      </c>
      <c r="B241" s="170"/>
      <c r="C241" s="160" t="s">
        <v>17</v>
      </c>
      <c r="D241" s="160" t="s">
        <v>224</v>
      </c>
      <c r="E241" s="160" t="s">
        <v>292</v>
      </c>
      <c r="F241" s="162" t="s">
        <v>218</v>
      </c>
      <c r="G241" s="161">
        <v>374.5</v>
      </c>
      <c r="H241" s="376" t="s">
        <v>431</v>
      </c>
      <c r="I241" s="377"/>
      <c r="J241" s="378"/>
      <c r="K241" s="200"/>
      <c r="L241" s="37"/>
      <c r="M241" s="48"/>
      <c r="N241" s="41"/>
      <c r="O241" s="41"/>
    </row>
    <row r="242" spans="1:15" ht="12.75">
      <c r="A242" s="281">
        <v>3</v>
      </c>
      <c r="B242" s="282"/>
      <c r="C242" s="396" t="s">
        <v>61</v>
      </c>
      <c r="D242" s="397"/>
      <c r="E242" s="397"/>
      <c r="F242" s="397"/>
      <c r="G242" s="397"/>
      <c r="H242" s="397"/>
      <c r="I242" s="397"/>
      <c r="J242" s="398"/>
      <c r="L242" s="37"/>
      <c r="M242" s="33"/>
      <c r="N242" s="33"/>
      <c r="O242" s="33"/>
    </row>
    <row r="243" spans="1:15" ht="38.25">
      <c r="A243" s="171" t="s">
        <v>52</v>
      </c>
      <c r="B243" s="170"/>
      <c r="C243" s="160" t="s">
        <v>17</v>
      </c>
      <c r="D243" s="160" t="s">
        <v>63</v>
      </c>
      <c r="E243" s="173" t="s">
        <v>64</v>
      </c>
      <c r="F243" s="160" t="s">
        <v>19</v>
      </c>
      <c r="G243" s="174">
        <v>256.18</v>
      </c>
      <c r="H243" s="376" t="s">
        <v>418</v>
      </c>
      <c r="I243" s="377"/>
      <c r="J243" s="378"/>
      <c r="L243" s="37"/>
      <c r="M243" s="38"/>
      <c r="N243" s="33"/>
      <c r="O243" s="33"/>
    </row>
    <row r="244" spans="1:15" ht="51">
      <c r="A244" s="171" t="s">
        <v>213</v>
      </c>
      <c r="B244" s="170"/>
      <c r="C244" s="160" t="s">
        <v>17</v>
      </c>
      <c r="D244" s="174" t="s">
        <v>229</v>
      </c>
      <c r="E244" s="303" t="s">
        <v>230</v>
      </c>
      <c r="F244" s="160" t="s">
        <v>19</v>
      </c>
      <c r="G244" s="174">
        <v>81.03</v>
      </c>
      <c r="H244" s="376" t="s">
        <v>418</v>
      </c>
      <c r="I244" s="377"/>
      <c r="J244" s="378"/>
      <c r="L244" s="37"/>
      <c r="M244" s="38"/>
      <c r="N244" s="33"/>
      <c r="O244" s="33"/>
    </row>
    <row r="245" spans="1:15" ht="51">
      <c r="A245" s="315" t="s">
        <v>327</v>
      </c>
      <c r="B245" s="196"/>
      <c r="C245" s="316" t="s">
        <v>17</v>
      </c>
      <c r="D245" s="304" t="s">
        <v>231</v>
      </c>
      <c r="E245" s="317" t="s">
        <v>232</v>
      </c>
      <c r="F245" s="316" t="s">
        <v>19</v>
      </c>
      <c r="G245" s="174">
        <v>160.61</v>
      </c>
      <c r="H245" s="399" t="s">
        <v>418</v>
      </c>
      <c r="I245" s="400"/>
      <c r="J245" s="401"/>
      <c r="L245" s="37"/>
      <c r="M245" s="38"/>
      <c r="N245" s="33"/>
      <c r="O245" s="33"/>
    </row>
    <row r="246" spans="1:15" ht="38.25">
      <c r="A246" s="315" t="s">
        <v>487</v>
      </c>
      <c r="B246" s="170"/>
      <c r="C246" s="312" t="s">
        <v>17</v>
      </c>
      <c r="D246" s="312" t="s">
        <v>228</v>
      </c>
      <c r="E246" s="313" t="s">
        <v>227</v>
      </c>
      <c r="F246" s="312" t="s">
        <v>19</v>
      </c>
      <c r="G246" s="314">
        <v>22.32</v>
      </c>
      <c r="H246" s="399" t="s">
        <v>418</v>
      </c>
      <c r="I246" s="400"/>
      <c r="J246" s="401"/>
      <c r="L246" s="37"/>
      <c r="M246" s="38"/>
      <c r="N246" s="33"/>
      <c r="O246" s="33"/>
    </row>
    <row r="247" spans="1:15" ht="51">
      <c r="A247" s="315" t="s">
        <v>488</v>
      </c>
      <c r="B247" s="170"/>
      <c r="C247" s="270" t="s">
        <v>17</v>
      </c>
      <c r="D247" s="270" t="s">
        <v>229</v>
      </c>
      <c r="E247" s="271" t="s">
        <v>353</v>
      </c>
      <c r="F247" s="270" t="s">
        <v>19</v>
      </c>
      <c r="G247" s="269">
        <v>36.36</v>
      </c>
      <c r="H247" s="399" t="s">
        <v>418</v>
      </c>
      <c r="I247" s="400"/>
      <c r="J247" s="401"/>
      <c r="L247" s="37"/>
      <c r="M247" s="38"/>
      <c r="N247" s="33"/>
      <c r="O247" s="33"/>
    </row>
    <row r="248" spans="1:15" ht="12.75">
      <c r="A248" s="281">
        <v>4</v>
      </c>
      <c r="B248" s="282"/>
      <c r="C248" s="396" t="s">
        <v>67</v>
      </c>
      <c r="D248" s="397"/>
      <c r="E248" s="397"/>
      <c r="F248" s="397"/>
      <c r="G248" s="397"/>
      <c r="H248" s="397"/>
      <c r="I248" s="397"/>
      <c r="J248" s="398"/>
      <c r="L248" s="37"/>
      <c r="M248" s="33"/>
      <c r="N248" s="33"/>
      <c r="O248" s="33"/>
    </row>
    <row r="249" spans="1:15" ht="38.25">
      <c r="A249" s="171" t="s">
        <v>54</v>
      </c>
      <c r="B249" s="170" t="s">
        <v>69</v>
      </c>
      <c r="C249" s="160" t="s">
        <v>17</v>
      </c>
      <c r="D249" s="168" t="s">
        <v>70</v>
      </c>
      <c r="E249" s="176" t="s">
        <v>71</v>
      </c>
      <c r="F249" s="160" t="s">
        <v>19</v>
      </c>
      <c r="G249" s="174">
        <v>1113.02</v>
      </c>
      <c r="H249" s="376" t="s">
        <v>418</v>
      </c>
      <c r="I249" s="377"/>
      <c r="J249" s="378"/>
      <c r="L249" s="37"/>
      <c r="M249" s="38"/>
      <c r="N249" s="33"/>
      <c r="O249" s="33"/>
    </row>
    <row r="250" spans="1:15" s="8" customFormat="1" ht="38.25">
      <c r="A250" s="171" t="s">
        <v>148</v>
      </c>
      <c r="B250" s="170" t="s">
        <v>69</v>
      </c>
      <c r="C250" s="160" t="s">
        <v>17</v>
      </c>
      <c r="D250" s="160" t="s">
        <v>73</v>
      </c>
      <c r="E250" s="173" t="s">
        <v>74</v>
      </c>
      <c r="F250" s="160" t="s">
        <v>19</v>
      </c>
      <c r="G250" s="174">
        <v>924.39</v>
      </c>
      <c r="H250" s="376" t="s">
        <v>418</v>
      </c>
      <c r="I250" s="377"/>
      <c r="J250" s="378"/>
      <c r="K250" s="201"/>
      <c r="L250" s="37"/>
      <c r="M250" s="38"/>
      <c r="N250" s="40"/>
      <c r="O250" s="40"/>
    </row>
    <row r="251" spans="1:15" s="8" customFormat="1" ht="25.5">
      <c r="A251" s="171" t="s">
        <v>149</v>
      </c>
      <c r="B251" s="170"/>
      <c r="C251" s="160" t="s">
        <v>17</v>
      </c>
      <c r="D251" s="177" t="s">
        <v>152</v>
      </c>
      <c r="E251" s="175" t="s">
        <v>153</v>
      </c>
      <c r="F251" s="160" t="s">
        <v>19</v>
      </c>
      <c r="G251" s="174">
        <v>188.64</v>
      </c>
      <c r="H251" s="376" t="s">
        <v>418</v>
      </c>
      <c r="I251" s="377"/>
      <c r="J251" s="378"/>
      <c r="K251" s="201"/>
      <c r="L251" s="37"/>
      <c r="M251" s="38"/>
      <c r="N251" s="40"/>
      <c r="O251" s="40"/>
    </row>
    <row r="252" spans="1:15" s="8" customFormat="1" ht="38.25">
      <c r="A252" s="171" t="s">
        <v>151</v>
      </c>
      <c r="B252" s="170"/>
      <c r="C252" s="160" t="s">
        <v>17</v>
      </c>
      <c r="D252" s="178" t="s">
        <v>157</v>
      </c>
      <c r="E252" s="179" t="s">
        <v>251</v>
      </c>
      <c r="F252" s="160" t="s">
        <v>19</v>
      </c>
      <c r="G252" s="174">
        <v>188.64</v>
      </c>
      <c r="H252" s="376" t="s">
        <v>418</v>
      </c>
      <c r="I252" s="377"/>
      <c r="J252" s="378"/>
      <c r="K252" s="201"/>
      <c r="L252" s="37"/>
      <c r="M252" s="38"/>
      <c r="N252" s="40"/>
      <c r="O252" s="40"/>
    </row>
    <row r="253" spans="1:15" s="8" customFormat="1" ht="63.75">
      <c r="A253" s="171" t="s">
        <v>354</v>
      </c>
      <c r="B253" s="170"/>
      <c r="C253" s="160" t="s">
        <v>17</v>
      </c>
      <c r="D253" s="178" t="s">
        <v>252</v>
      </c>
      <c r="E253" s="305" t="s">
        <v>253</v>
      </c>
      <c r="F253" s="160" t="s">
        <v>19</v>
      </c>
      <c r="G253" s="161">
        <v>368.26</v>
      </c>
      <c r="H253" s="376" t="s">
        <v>431</v>
      </c>
      <c r="I253" s="377"/>
      <c r="J253" s="378"/>
      <c r="K253" s="201"/>
      <c r="L253" s="37"/>
      <c r="M253" s="38"/>
      <c r="N253" s="40"/>
      <c r="O253" s="40"/>
    </row>
    <row r="254" spans="1:13" s="75" customFormat="1" ht="38.25">
      <c r="A254" s="171" t="s">
        <v>404</v>
      </c>
      <c r="B254" s="170"/>
      <c r="C254" s="160" t="s">
        <v>17</v>
      </c>
      <c r="D254" s="160" t="s">
        <v>219</v>
      </c>
      <c r="E254" s="173" t="s">
        <v>220</v>
      </c>
      <c r="F254" s="160" t="s">
        <v>19</v>
      </c>
      <c r="G254" s="174">
        <v>23.4</v>
      </c>
      <c r="H254" s="376" t="s">
        <v>433</v>
      </c>
      <c r="I254" s="377"/>
      <c r="J254" s="378"/>
      <c r="L254" s="37"/>
      <c r="M254" s="76"/>
    </row>
    <row r="255" spans="1:13" s="75" customFormat="1" ht="25.5">
      <c r="A255" s="171" t="s">
        <v>405</v>
      </c>
      <c r="B255" s="170"/>
      <c r="C255" s="160" t="s">
        <v>17</v>
      </c>
      <c r="D255" s="160" t="s">
        <v>222</v>
      </c>
      <c r="E255" s="173" t="s">
        <v>223</v>
      </c>
      <c r="F255" s="160" t="s">
        <v>19</v>
      </c>
      <c r="G255" s="174">
        <v>23.4</v>
      </c>
      <c r="H255" s="376" t="s">
        <v>433</v>
      </c>
      <c r="I255" s="377"/>
      <c r="J255" s="378"/>
      <c r="L255" s="37"/>
      <c r="M255" s="76"/>
    </row>
    <row r="256" spans="1:15" ht="12.75">
      <c r="A256" s="281">
        <v>5</v>
      </c>
      <c r="B256" s="282"/>
      <c r="C256" s="396" t="s">
        <v>75</v>
      </c>
      <c r="D256" s="397"/>
      <c r="E256" s="397"/>
      <c r="F256" s="397"/>
      <c r="G256" s="397"/>
      <c r="H256" s="397"/>
      <c r="I256" s="397"/>
      <c r="J256" s="398"/>
      <c r="L256" s="37"/>
      <c r="M256" s="33"/>
      <c r="N256" s="33"/>
      <c r="O256" s="33"/>
    </row>
    <row r="257" spans="1:15" ht="37.5" customHeight="1">
      <c r="A257" s="171" t="s">
        <v>57</v>
      </c>
      <c r="B257" s="160" t="s">
        <v>77</v>
      </c>
      <c r="C257" s="160" t="s">
        <v>17</v>
      </c>
      <c r="D257" s="160" t="s">
        <v>78</v>
      </c>
      <c r="E257" s="173" t="s">
        <v>79</v>
      </c>
      <c r="F257" s="160" t="s">
        <v>19</v>
      </c>
      <c r="G257" s="174">
        <v>924.39</v>
      </c>
      <c r="H257" s="376" t="s">
        <v>418</v>
      </c>
      <c r="I257" s="377"/>
      <c r="J257" s="378"/>
      <c r="L257" s="37"/>
      <c r="M257" s="38"/>
      <c r="N257" s="33"/>
      <c r="O257" s="33"/>
    </row>
    <row r="258" spans="1:15" ht="38.25">
      <c r="A258" s="171" t="s">
        <v>60</v>
      </c>
      <c r="B258" s="170"/>
      <c r="C258" s="160" t="s">
        <v>17</v>
      </c>
      <c r="D258" s="160" t="s">
        <v>81</v>
      </c>
      <c r="E258" s="173" t="s">
        <v>82</v>
      </c>
      <c r="F258" s="160" t="s">
        <v>19</v>
      </c>
      <c r="G258" s="174">
        <v>924.39</v>
      </c>
      <c r="H258" s="376" t="s">
        <v>418</v>
      </c>
      <c r="I258" s="377"/>
      <c r="J258" s="378"/>
      <c r="L258" s="37"/>
      <c r="M258" s="38"/>
      <c r="N258" s="33"/>
      <c r="O258" s="33"/>
    </row>
    <row r="259" spans="1:15" ht="12.75">
      <c r="A259" s="281">
        <v>6</v>
      </c>
      <c r="B259" s="282"/>
      <c r="C259" s="396" t="s">
        <v>83</v>
      </c>
      <c r="D259" s="397"/>
      <c r="E259" s="397"/>
      <c r="F259" s="397"/>
      <c r="G259" s="397"/>
      <c r="H259" s="397"/>
      <c r="I259" s="397"/>
      <c r="J259" s="398"/>
      <c r="L259" s="37"/>
      <c r="M259" s="33"/>
      <c r="N259" s="33"/>
      <c r="O259" s="33"/>
    </row>
    <row r="260" spans="1:15" ht="133.5" customHeight="1">
      <c r="A260" s="171" t="s">
        <v>62</v>
      </c>
      <c r="B260" s="170"/>
      <c r="C260" s="160" t="s">
        <v>17</v>
      </c>
      <c r="D260" s="160" t="s">
        <v>85</v>
      </c>
      <c r="E260" s="165" t="s">
        <v>86</v>
      </c>
      <c r="F260" s="160" t="s">
        <v>9</v>
      </c>
      <c r="G260" s="161">
        <v>31</v>
      </c>
      <c r="H260" s="393" t="s">
        <v>472</v>
      </c>
      <c r="I260" s="394"/>
      <c r="J260" s="395"/>
      <c r="L260" s="37"/>
      <c r="M260" s="38"/>
      <c r="N260" s="33"/>
      <c r="O260" s="33"/>
    </row>
    <row r="261" spans="1:15" ht="51">
      <c r="A261" s="171" t="s">
        <v>158</v>
      </c>
      <c r="B261" s="170"/>
      <c r="C261" s="160" t="s">
        <v>17</v>
      </c>
      <c r="D261" s="160">
        <v>93128</v>
      </c>
      <c r="E261" s="173" t="s">
        <v>88</v>
      </c>
      <c r="F261" s="160" t="s">
        <v>9</v>
      </c>
      <c r="G261" s="161">
        <v>25</v>
      </c>
      <c r="H261" s="393" t="s">
        <v>472</v>
      </c>
      <c r="I261" s="394"/>
      <c r="J261" s="395"/>
      <c r="L261" s="37"/>
      <c r="M261" s="38"/>
      <c r="N261" s="33"/>
      <c r="O261" s="33"/>
    </row>
    <row r="262" spans="1:15" ht="51">
      <c r="A262" s="171" t="s">
        <v>159</v>
      </c>
      <c r="B262" s="170"/>
      <c r="C262" s="270" t="s">
        <v>17</v>
      </c>
      <c r="D262" s="270" t="s">
        <v>474</v>
      </c>
      <c r="E262" s="271" t="s">
        <v>473</v>
      </c>
      <c r="F262" s="270" t="s">
        <v>9</v>
      </c>
      <c r="G262" s="272">
        <v>25</v>
      </c>
      <c r="H262" s="393" t="s">
        <v>472</v>
      </c>
      <c r="I262" s="394"/>
      <c r="J262" s="395"/>
      <c r="L262" s="37"/>
      <c r="M262" s="38"/>
      <c r="N262" s="33"/>
      <c r="O262" s="33"/>
    </row>
    <row r="263" spans="1:15" ht="25.5">
      <c r="A263" s="171" t="s">
        <v>162</v>
      </c>
      <c r="B263" s="269"/>
      <c r="C263" s="270" t="s">
        <v>17</v>
      </c>
      <c r="D263" s="270" t="s">
        <v>447</v>
      </c>
      <c r="E263" s="271" t="s">
        <v>448</v>
      </c>
      <c r="F263" s="160" t="s">
        <v>9</v>
      </c>
      <c r="G263" s="272">
        <v>1</v>
      </c>
      <c r="H263" s="393" t="s">
        <v>472</v>
      </c>
      <c r="I263" s="394"/>
      <c r="J263" s="395"/>
      <c r="L263" s="37"/>
      <c r="M263" s="38"/>
      <c r="N263" s="33"/>
      <c r="O263" s="33"/>
    </row>
    <row r="264" spans="1:15" ht="12.75">
      <c r="A264" s="171" t="s">
        <v>507</v>
      </c>
      <c r="B264" s="269"/>
      <c r="C264" s="270" t="s">
        <v>17</v>
      </c>
      <c r="D264" s="270" t="s">
        <v>450</v>
      </c>
      <c r="E264" s="271" t="s">
        <v>449</v>
      </c>
      <c r="F264" s="160" t="s">
        <v>9</v>
      </c>
      <c r="G264" s="272">
        <v>1</v>
      </c>
      <c r="H264" s="393" t="s">
        <v>472</v>
      </c>
      <c r="I264" s="394"/>
      <c r="J264" s="395"/>
      <c r="L264" s="37"/>
      <c r="M264" s="38"/>
      <c r="N264" s="33"/>
      <c r="O264" s="33"/>
    </row>
    <row r="265" spans="1:15" ht="31.5" customHeight="1">
      <c r="A265" s="171" t="s">
        <v>508</v>
      </c>
      <c r="B265" s="269"/>
      <c r="C265" s="270" t="s">
        <v>285</v>
      </c>
      <c r="D265" s="270">
        <v>90458</v>
      </c>
      <c r="E265" s="271" t="s">
        <v>453</v>
      </c>
      <c r="F265" s="270" t="s">
        <v>9</v>
      </c>
      <c r="G265" s="272">
        <v>1</v>
      </c>
      <c r="H265" s="393" t="s">
        <v>472</v>
      </c>
      <c r="I265" s="394"/>
      <c r="J265" s="395"/>
      <c r="L265" s="37"/>
      <c r="M265" s="38"/>
      <c r="N265" s="33"/>
      <c r="O265" s="33"/>
    </row>
    <row r="266" spans="1:15" ht="12.75">
      <c r="A266" s="171" t="s">
        <v>509</v>
      </c>
      <c r="B266" s="269"/>
      <c r="C266" s="270" t="s">
        <v>17</v>
      </c>
      <c r="D266" s="270" t="s">
        <v>458</v>
      </c>
      <c r="E266" s="271" t="s">
        <v>459</v>
      </c>
      <c r="F266" s="270" t="s">
        <v>9</v>
      </c>
      <c r="G266" s="272">
        <v>1</v>
      </c>
      <c r="H266" s="393" t="s">
        <v>472</v>
      </c>
      <c r="I266" s="394"/>
      <c r="J266" s="395"/>
      <c r="L266" s="37"/>
      <c r="M266" s="38"/>
      <c r="N266" s="33"/>
      <c r="O266" s="33"/>
    </row>
    <row r="267" spans="1:15" ht="38.25">
      <c r="A267" s="171" t="s">
        <v>510</v>
      </c>
      <c r="B267" s="269"/>
      <c r="C267" s="270" t="s">
        <v>17</v>
      </c>
      <c r="D267" s="270" t="s">
        <v>463</v>
      </c>
      <c r="E267" s="271" t="s">
        <v>462</v>
      </c>
      <c r="F267" s="270" t="s">
        <v>172</v>
      </c>
      <c r="G267" s="272">
        <v>88</v>
      </c>
      <c r="H267" s="393" t="s">
        <v>472</v>
      </c>
      <c r="I267" s="394"/>
      <c r="J267" s="395"/>
      <c r="L267" s="37"/>
      <c r="M267" s="38"/>
      <c r="N267" s="33"/>
      <c r="O267" s="33"/>
    </row>
    <row r="268" spans="1:15" ht="38.25">
      <c r="A268" s="171" t="s">
        <v>511</v>
      </c>
      <c r="B268" s="269"/>
      <c r="C268" s="270" t="s">
        <v>17</v>
      </c>
      <c r="D268" s="270" t="s">
        <v>465</v>
      </c>
      <c r="E268" s="271" t="s">
        <v>464</v>
      </c>
      <c r="F268" s="270" t="s">
        <v>172</v>
      </c>
      <c r="G268" s="272">
        <v>177.3</v>
      </c>
      <c r="H268" s="393" t="s">
        <v>472</v>
      </c>
      <c r="I268" s="394"/>
      <c r="J268" s="395"/>
      <c r="L268" s="37"/>
      <c r="M268" s="38"/>
      <c r="N268" s="33"/>
      <c r="O268" s="33"/>
    </row>
    <row r="269" spans="1:15" ht="12.75">
      <c r="A269" s="280">
        <v>7</v>
      </c>
      <c r="B269" s="180"/>
      <c r="C269" s="408" t="s">
        <v>226</v>
      </c>
      <c r="D269" s="409"/>
      <c r="E269" s="409"/>
      <c r="F269" s="409"/>
      <c r="G269" s="409"/>
      <c r="H269" s="409"/>
      <c r="I269" s="409"/>
      <c r="J269" s="410"/>
      <c r="K269" s="73"/>
      <c r="L269" s="37"/>
      <c r="M269" s="51"/>
      <c r="N269" s="50"/>
      <c r="O269" s="33"/>
    </row>
    <row r="270" spans="1:15" ht="51">
      <c r="A270" s="306" t="s">
        <v>65</v>
      </c>
      <c r="B270" s="183"/>
      <c r="C270" s="181" t="s">
        <v>17</v>
      </c>
      <c r="D270" s="184" t="s">
        <v>235</v>
      </c>
      <c r="E270" s="184" t="s">
        <v>236</v>
      </c>
      <c r="F270" s="181" t="s">
        <v>55</v>
      </c>
      <c r="G270" s="185">
        <v>1</v>
      </c>
      <c r="H270" s="393">
        <v>1</v>
      </c>
      <c r="I270" s="394"/>
      <c r="J270" s="395"/>
      <c r="K270" s="73"/>
      <c r="L270" s="37"/>
      <c r="M270" s="51"/>
      <c r="N270" s="50"/>
      <c r="O270" s="33"/>
    </row>
    <row r="271" spans="1:15" ht="51">
      <c r="A271" s="306" t="s">
        <v>66</v>
      </c>
      <c r="B271" s="183"/>
      <c r="C271" s="181" t="s">
        <v>17</v>
      </c>
      <c r="D271" s="184" t="s">
        <v>178</v>
      </c>
      <c r="E271" s="184" t="s">
        <v>179</v>
      </c>
      <c r="F271" s="181" t="s">
        <v>55</v>
      </c>
      <c r="G271" s="185">
        <v>4</v>
      </c>
      <c r="H271" s="414">
        <v>4</v>
      </c>
      <c r="I271" s="415"/>
      <c r="J271" s="416"/>
      <c r="K271" s="73"/>
      <c r="L271" s="37"/>
      <c r="M271" s="51"/>
      <c r="N271" s="50"/>
      <c r="O271" s="33"/>
    </row>
    <row r="272" spans="1:15" ht="51">
      <c r="A272" s="306" t="s">
        <v>163</v>
      </c>
      <c r="B272" s="183"/>
      <c r="C272" s="181" t="s">
        <v>17</v>
      </c>
      <c r="D272" s="184" t="s">
        <v>181</v>
      </c>
      <c r="E272" s="184" t="s">
        <v>182</v>
      </c>
      <c r="F272" s="181" t="s">
        <v>55</v>
      </c>
      <c r="G272" s="185">
        <v>6</v>
      </c>
      <c r="H272" s="414">
        <v>6</v>
      </c>
      <c r="I272" s="415"/>
      <c r="J272" s="416"/>
      <c r="K272" s="73"/>
      <c r="L272" s="37"/>
      <c r="M272" s="51"/>
      <c r="N272" s="50"/>
      <c r="O272" s="33"/>
    </row>
    <row r="273" spans="1:15" ht="76.5">
      <c r="A273" s="306" t="s">
        <v>294</v>
      </c>
      <c r="B273" s="307"/>
      <c r="C273" s="181" t="s">
        <v>17</v>
      </c>
      <c r="D273" s="181" t="s">
        <v>237</v>
      </c>
      <c r="E273" s="184" t="s">
        <v>238</v>
      </c>
      <c r="F273" s="181" t="s">
        <v>55</v>
      </c>
      <c r="G273" s="185">
        <v>6</v>
      </c>
      <c r="H273" s="414">
        <v>6</v>
      </c>
      <c r="I273" s="415"/>
      <c r="J273" s="416"/>
      <c r="K273" s="73"/>
      <c r="L273" s="37"/>
      <c r="M273" s="74"/>
      <c r="N273" s="50"/>
      <c r="O273" s="33"/>
    </row>
    <row r="274" spans="1:15" ht="63.75">
      <c r="A274" s="306" t="s">
        <v>295</v>
      </c>
      <c r="B274" s="183"/>
      <c r="C274" s="181" t="s">
        <v>17</v>
      </c>
      <c r="D274" s="184" t="s">
        <v>185</v>
      </c>
      <c r="E274" s="263" t="s">
        <v>186</v>
      </c>
      <c r="F274" s="181" t="s">
        <v>55</v>
      </c>
      <c r="G274" s="185">
        <v>6</v>
      </c>
      <c r="H274" s="414">
        <v>6</v>
      </c>
      <c r="I274" s="415"/>
      <c r="J274" s="416"/>
      <c r="K274" s="73"/>
      <c r="L274" s="37"/>
      <c r="M274" s="74"/>
      <c r="N274" s="50"/>
      <c r="O274" s="33"/>
    </row>
    <row r="275" spans="1:15" ht="38.25">
      <c r="A275" s="306" t="s">
        <v>293</v>
      </c>
      <c r="B275" s="183"/>
      <c r="C275" s="181" t="s">
        <v>17</v>
      </c>
      <c r="D275" s="184" t="s">
        <v>187</v>
      </c>
      <c r="E275" s="184" t="s">
        <v>188</v>
      </c>
      <c r="F275" s="181" t="s">
        <v>55</v>
      </c>
      <c r="G275" s="185">
        <v>6</v>
      </c>
      <c r="H275" s="414">
        <v>6</v>
      </c>
      <c r="I275" s="415"/>
      <c r="J275" s="416"/>
      <c r="K275" s="73"/>
      <c r="L275" s="37"/>
      <c r="M275" s="74"/>
      <c r="N275" s="50"/>
      <c r="O275" s="33"/>
    </row>
    <row r="276" spans="1:15" ht="66.75" customHeight="1">
      <c r="A276" s="306" t="s">
        <v>296</v>
      </c>
      <c r="B276" s="183"/>
      <c r="C276" s="181" t="s">
        <v>17</v>
      </c>
      <c r="D276" s="184" t="s">
        <v>245</v>
      </c>
      <c r="E276" s="184" t="s">
        <v>250</v>
      </c>
      <c r="F276" s="181" t="s">
        <v>55</v>
      </c>
      <c r="G276" s="185">
        <v>6</v>
      </c>
      <c r="H276" s="414">
        <v>6</v>
      </c>
      <c r="I276" s="415"/>
      <c r="J276" s="416"/>
      <c r="K276" s="73"/>
      <c r="L276" s="37"/>
      <c r="M276" s="74"/>
      <c r="N276" s="50"/>
      <c r="O276" s="33"/>
    </row>
    <row r="277" spans="1:15" ht="62.25" customHeight="1">
      <c r="A277" s="306" t="s">
        <v>470</v>
      </c>
      <c r="B277" s="183"/>
      <c r="C277" s="181" t="s">
        <v>17</v>
      </c>
      <c r="D277" s="184" t="s">
        <v>247</v>
      </c>
      <c r="E277" s="305" t="s">
        <v>246</v>
      </c>
      <c r="F277" s="181" t="s">
        <v>55</v>
      </c>
      <c r="G277" s="185">
        <v>3</v>
      </c>
      <c r="H277" s="414">
        <v>3</v>
      </c>
      <c r="I277" s="415"/>
      <c r="J277" s="416"/>
      <c r="K277" s="73"/>
      <c r="L277" s="37"/>
      <c r="M277" s="74"/>
      <c r="N277" s="50"/>
      <c r="O277" s="33"/>
    </row>
    <row r="278" spans="1:15" ht="83.25" customHeight="1">
      <c r="A278" s="306" t="s">
        <v>471</v>
      </c>
      <c r="B278" s="183"/>
      <c r="C278" s="181" t="s">
        <v>17</v>
      </c>
      <c r="D278" s="184" t="s">
        <v>239</v>
      </c>
      <c r="E278" s="184" t="s">
        <v>240</v>
      </c>
      <c r="F278" s="181" t="s">
        <v>55</v>
      </c>
      <c r="G278" s="186">
        <v>6</v>
      </c>
      <c r="H278" s="417">
        <v>6</v>
      </c>
      <c r="I278" s="418"/>
      <c r="J278" s="419"/>
      <c r="K278" s="73"/>
      <c r="L278" s="37"/>
      <c r="M278" s="74"/>
      <c r="N278" s="50"/>
      <c r="O278" s="33"/>
    </row>
    <row r="279" spans="1:15" ht="25.5">
      <c r="A279" s="306" t="s">
        <v>512</v>
      </c>
      <c r="B279" s="187"/>
      <c r="C279" s="181" t="s">
        <v>17</v>
      </c>
      <c r="D279" s="170" t="s">
        <v>280</v>
      </c>
      <c r="E279" s="169" t="s">
        <v>279</v>
      </c>
      <c r="F279" s="181" t="s">
        <v>413</v>
      </c>
      <c r="G279" s="188">
        <v>1.92</v>
      </c>
      <c r="H279" s="390">
        <v>1.92</v>
      </c>
      <c r="I279" s="391"/>
      <c r="J279" s="392"/>
      <c r="K279" s="73"/>
      <c r="L279" s="37"/>
      <c r="M279" s="51"/>
      <c r="N279" s="50"/>
      <c r="O279" s="33"/>
    </row>
    <row r="280" spans="1:15" ht="76.5">
      <c r="A280" s="306" t="s">
        <v>513</v>
      </c>
      <c r="B280" s="189"/>
      <c r="C280" s="181" t="s">
        <v>17</v>
      </c>
      <c r="D280" s="181" t="s">
        <v>241</v>
      </c>
      <c r="E280" s="184" t="s">
        <v>242</v>
      </c>
      <c r="F280" s="181" t="s">
        <v>55</v>
      </c>
      <c r="G280" s="186">
        <v>2</v>
      </c>
      <c r="H280" s="417">
        <v>2</v>
      </c>
      <c r="I280" s="418"/>
      <c r="J280" s="419"/>
      <c r="K280" s="73"/>
      <c r="L280" s="37"/>
      <c r="M280" s="51"/>
      <c r="N280" s="50"/>
      <c r="O280" s="33"/>
    </row>
    <row r="281" spans="1:15" ht="51">
      <c r="A281" s="306" t="s">
        <v>514</v>
      </c>
      <c r="B281" s="189"/>
      <c r="C281" s="181" t="s">
        <v>17</v>
      </c>
      <c r="D281" s="181" t="s">
        <v>243</v>
      </c>
      <c r="E281" s="184" t="s">
        <v>244</v>
      </c>
      <c r="F281" s="181" t="s">
        <v>55</v>
      </c>
      <c r="G281" s="186">
        <v>2</v>
      </c>
      <c r="H281" s="417">
        <v>2</v>
      </c>
      <c r="I281" s="418"/>
      <c r="J281" s="419"/>
      <c r="K281" s="73"/>
      <c r="L281" s="37"/>
      <c r="M281" s="51"/>
      <c r="N281" s="50"/>
      <c r="O281" s="33"/>
    </row>
    <row r="282" spans="1:14" ht="51">
      <c r="A282" s="306" t="s">
        <v>515</v>
      </c>
      <c r="B282" s="189"/>
      <c r="C282" s="181" t="s">
        <v>17</v>
      </c>
      <c r="D282" s="181" t="s">
        <v>248</v>
      </c>
      <c r="E282" s="184" t="s">
        <v>249</v>
      </c>
      <c r="F282" s="181" t="s">
        <v>55</v>
      </c>
      <c r="G282" s="186">
        <v>6</v>
      </c>
      <c r="H282" s="417">
        <v>6</v>
      </c>
      <c r="I282" s="418"/>
      <c r="J282" s="419"/>
      <c r="K282" s="73"/>
      <c r="L282" s="37"/>
      <c r="M282" s="51"/>
      <c r="N282" s="50"/>
    </row>
    <row r="283" spans="1:14" ht="12.75">
      <c r="A283" s="306" t="s">
        <v>516</v>
      </c>
      <c r="B283" s="189"/>
      <c r="C283" s="181" t="s">
        <v>17</v>
      </c>
      <c r="D283" s="190" t="s">
        <v>274</v>
      </c>
      <c r="E283" s="308" t="s">
        <v>273</v>
      </c>
      <c r="F283" s="181" t="s">
        <v>55</v>
      </c>
      <c r="G283" s="186">
        <v>5</v>
      </c>
      <c r="H283" s="417">
        <v>5</v>
      </c>
      <c r="I283" s="418"/>
      <c r="J283" s="419"/>
      <c r="K283" s="73"/>
      <c r="L283" s="37"/>
      <c r="M283" s="51"/>
      <c r="N283" s="50"/>
    </row>
    <row r="284" spans="1:14" ht="38.25">
      <c r="A284" s="306" t="s">
        <v>517</v>
      </c>
      <c r="B284" s="189"/>
      <c r="C284" s="181" t="s">
        <v>17</v>
      </c>
      <c r="D284" s="181" t="s">
        <v>478</v>
      </c>
      <c r="E284" s="181" t="s">
        <v>477</v>
      </c>
      <c r="F284" s="181" t="s">
        <v>406</v>
      </c>
      <c r="G284" s="182">
        <f>30.25+10.21</f>
        <v>40.46</v>
      </c>
      <c r="H284" s="390" t="s">
        <v>479</v>
      </c>
      <c r="I284" s="391"/>
      <c r="J284" s="392"/>
      <c r="K284" s="294"/>
      <c r="L284" s="37"/>
      <c r="M284" s="51"/>
      <c r="N284" s="50"/>
    </row>
    <row r="285" spans="1:14" ht="12.75">
      <c r="A285" s="280">
        <v>8</v>
      </c>
      <c r="B285" s="291"/>
      <c r="C285" s="408" t="s">
        <v>489</v>
      </c>
      <c r="D285" s="409"/>
      <c r="E285" s="409"/>
      <c r="F285" s="409"/>
      <c r="G285" s="409"/>
      <c r="H285" s="409"/>
      <c r="I285" s="409"/>
      <c r="J285" s="410"/>
      <c r="K285" s="159"/>
      <c r="L285" s="37"/>
      <c r="M285" s="51"/>
      <c r="N285" s="50"/>
    </row>
    <row r="286" spans="1:14" s="75" customFormat="1" ht="51">
      <c r="A286" s="191" t="s">
        <v>68</v>
      </c>
      <c r="B286" s="189"/>
      <c r="C286" s="181" t="s">
        <v>17</v>
      </c>
      <c r="D286" s="174" t="s">
        <v>394</v>
      </c>
      <c r="E286" s="192" t="s">
        <v>415</v>
      </c>
      <c r="F286" s="181" t="s">
        <v>55</v>
      </c>
      <c r="G286" s="162">
        <v>4</v>
      </c>
      <c r="H286" s="411">
        <v>4</v>
      </c>
      <c r="I286" s="412"/>
      <c r="J286" s="413"/>
      <c r="K286" s="159"/>
      <c r="L286" s="37"/>
      <c r="M286" s="74"/>
      <c r="N286" s="73"/>
    </row>
    <row r="287" spans="1:14" s="75" customFormat="1" ht="51">
      <c r="A287" s="191" t="s">
        <v>72</v>
      </c>
      <c r="B287" s="189"/>
      <c r="C287" s="181" t="s">
        <v>17</v>
      </c>
      <c r="D287" s="174" t="s">
        <v>493</v>
      </c>
      <c r="E287" s="192" t="s">
        <v>492</v>
      </c>
      <c r="F287" s="181" t="s">
        <v>55</v>
      </c>
      <c r="G287" s="162">
        <v>4</v>
      </c>
      <c r="H287" s="411">
        <v>4</v>
      </c>
      <c r="I287" s="412"/>
      <c r="J287" s="413"/>
      <c r="K287" s="159"/>
      <c r="L287" s="37"/>
      <c r="M287" s="74"/>
      <c r="N287" s="73"/>
    </row>
    <row r="288" spans="1:14" s="75" customFormat="1" ht="51">
      <c r="A288" s="191" t="s">
        <v>164</v>
      </c>
      <c r="B288" s="189"/>
      <c r="C288" s="181" t="s">
        <v>17</v>
      </c>
      <c r="D288" s="174" t="s">
        <v>494</v>
      </c>
      <c r="E288" s="192" t="s">
        <v>495</v>
      </c>
      <c r="F288" s="181" t="s">
        <v>55</v>
      </c>
      <c r="G288" s="162">
        <v>2</v>
      </c>
      <c r="H288" s="411">
        <v>2</v>
      </c>
      <c r="I288" s="412"/>
      <c r="J288" s="413"/>
      <c r="K288" s="159"/>
      <c r="L288" s="37"/>
      <c r="M288" s="74"/>
      <c r="N288" s="73"/>
    </row>
    <row r="289" spans="1:14" ht="12.75">
      <c r="A289" s="191" t="s">
        <v>221</v>
      </c>
      <c r="B289" s="189"/>
      <c r="C289" s="193" t="s">
        <v>17</v>
      </c>
      <c r="D289" s="304" t="s">
        <v>256</v>
      </c>
      <c r="E289" s="194" t="s">
        <v>255</v>
      </c>
      <c r="F289" s="193" t="s">
        <v>55</v>
      </c>
      <c r="G289" s="195">
        <v>6</v>
      </c>
      <c r="H289" s="411">
        <v>6</v>
      </c>
      <c r="I289" s="412"/>
      <c r="J289" s="423"/>
      <c r="K289" s="159"/>
      <c r="L289" s="37"/>
      <c r="M289" s="51"/>
      <c r="N289" s="50"/>
    </row>
    <row r="290" spans="1:14" ht="63.75">
      <c r="A290" s="191" t="s">
        <v>407</v>
      </c>
      <c r="B290" s="189"/>
      <c r="C290" s="181" t="s">
        <v>17</v>
      </c>
      <c r="D290" s="174" t="s">
        <v>264</v>
      </c>
      <c r="E290" s="179" t="s">
        <v>263</v>
      </c>
      <c r="F290" s="181" t="s">
        <v>413</v>
      </c>
      <c r="G290" s="161">
        <f>(1*2.1)+(0.8*2.1)</f>
        <v>3.7800000000000002</v>
      </c>
      <c r="H290" s="376" t="s">
        <v>418</v>
      </c>
      <c r="I290" s="377"/>
      <c r="J290" s="378"/>
      <c r="K290" s="159"/>
      <c r="L290" s="37"/>
      <c r="M290" s="51"/>
      <c r="N290" s="50"/>
    </row>
    <row r="291" spans="1:14" ht="25.5">
      <c r="A291" s="191" t="s">
        <v>408</v>
      </c>
      <c r="B291" s="189"/>
      <c r="C291" s="181" t="s">
        <v>17</v>
      </c>
      <c r="D291" s="196" t="s">
        <v>277</v>
      </c>
      <c r="E291" s="309" t="s">
        <v>278</v>
      </c>
      <c r="F291" s="197" t="s">
        <v>413</v>
      </c>
      <c r="G291" s="198">
        <v>16.02</v>
      </c>
      <c r="H291" s="376" t="s">
        <v>418</v>
      </c>
      <c r="I291" s="377"/>
      <c r="J291" s="378"/>
      <c r="K291" s="159"/>
      <c r="L291" s="37"/>
      <c r="M291" s="51"/>
      <c r="N291" s="50"/>
    </row>
    <row r="292" spans="1:14" ht="25.5">
      <c r="A292" s="191" t="s">
        <v>409</v>
      </c>
      <c r="B292" s="189"/>
      <c r="C292" s="168" t="s">
        <v>17</v>
      </c>
      <c r="D292" s="170" t="s">
        <v>288</v>
      </c>
      <c r="E292" s="172" t="s">
        <v>287</v>
      </c>
      <c r="F292" s="162" t="s">
        <v>406</v>
      </c>
      <c r="G292" s="162">
        <v>4</v>
      </c>
      <c r="H292" s="376" t="s">
        <v>418</v>
      </c>
      <c r="I292" s="377"/>
      <c r="J292" s="378"/>
      <c r="K292" s="159"/>
      <c r="L292" s="37"/>
      <c r="M292" s="51"/>
      <c r="N292" s="50"/>
    </row>
    <row r="293" spans="1:14" ht="25.5">
      <c r="A293" s="191" t="s">
        <v>410</v>
      </c>
      <c r="B293" s="189"/>
      <c r="C293" s="181" t="s">
        <v>17</v>
      </c>
      <c r="D293" s="170" t="s">
        <v>276</v>
      </c>
      <c r="E293" s="173" t="s">
        <v>275</v>
      </c>
      <c r="F293" s="181" t="s">
        <v>218</v>
      </c>
      <c r="G293" s="161">
        <v>35.72</v>
      </c>
      <c r="H293" s="376" t="s">
        <v>418</v>
      </c>
      <c r="I293" s="377"/>
      <c r="J293" s="378"/>
      <c r="K293" s="159"/>
      <c r="L293" s="37"/>
      <c r="M293" s="51"/>
      <c r="N293" s="50"/>
    </row>
    <row r="294" spans="1:14" ht="38.25">
      <c r="A294" s="191" t="s">
        <v>411</v>
      </c>
      <c r="B294" s="189"/>
      <c r="C294" s="181" t="s">
        <v>17</v>
      </c>
      <c r="D294" s="174" t="s">
        <v>268</v>
      </c>
      <c r="E294" s="179" t="s">
        <v>267</v>
      </c>
      <c r="F294" s="181" t="s">
        <v>218</v>
      </c>
      <c r="G294" s="161">
        <f>SUM(1.5*2.1)+(0.92*1)+(1*2.1)+(1*2.1)+(0.8*2.1)+(0.8*2.1)</f>
        <v>11.629999999999999</v>
      </c>
      <c r="H294" s="376" t="s">
        <v>418</v>
      </c>
      <c r="I294" s="377"/>
      <c r="J294" s="378"/>
      <c r="K294" s="159"/>
      <c r="L294" s="37"/>
      <c r="M294" s="51"/>
      <c r="N294" s="50"/>
    </row>
    <row r="295" spans="1:14" ht="25.5">
      <c r="A295" s="191" t="s">
        <v>412</v>
      </c>
      <c r="B295" s="189"/>
      <c r="C295" s="181" t="s">
        <v>17</v>
      </c>
      <c r="D295" s="174" t="s">
        <v>455</v>
      </c>
      <c r="E295" s="179" t="s">
        <v>454</v>
      </c>
      <c r="F295" s="181" t="s">
        <v>218</v>
      </c>
      <c r="G295" s="161">
        <v>105.66</v>
      </c>
      <c r="H295" s="376" t="s">
        <v>431</v>
      </c>
      <c r="I295" s="377"/>
      <c r="J295" s="378"/>
      <c r="K295" s="159"/>
      <c r="L295" s="37"/>
      <c r="M295" s="51"/>
      <c r="N295" s="50"/>
    </row>
    <row r="296" spans="1:14" ht="38.25">
      <c r="A296" s="191" t="s">
        <v>414</v>
      </c>
      <c r="B296" s="189"/>
      <c r="C296" s="181" t="s">
        <v>17</v>
      </c>
      <c r="D296" s="174" t="s">
        <v>457</v>
      </c>
      <c r="E296" s="179" t="s">
        <v>456</v>
      </c>
      <c r="F296" s="181" t="s">
        <v>55</v>
      </c>
      <c r="G296" s="161">
        <v>2</v>
      </c>
      <c r="H296" s="376" t="s">
        <v>431</v>
      </c>
      <c r="I296" s="377"/>
      <c r="J296" s="378"/>
      <c r="K296" s="159"/>
      <c r="L296" s="37"/>
      <c r="M296" s="51"/>
      <c r="N296" s="50"/>
    </row>
    <row r="297" spans="1:15" ht="12.75">
      <c r="A297" s="281">
        <v>9</v>
      </c>
      <c r="B297" s="282"/>
      <c r="C297" s="396" t="s">
        <v>89</v>
      </c>
      <c r="D297" s="397"/>
      <c r="E297" s="397"/>
      <c r="F297" s="397"/>
      <c r="G297" s="397"/>
      <c r="H297" s="397"/>
      <c r="I297" s="397"/>
      <c r="J297" s="398"/>
      <c r="L297" s="37"/>
      <c r="M297" s="33"/>
      <c r="N297" s="33"/>
      <c r="O297" s="33"/>
    </row>
    <row r="298" spans="1:15" ht="17.25" customHeight="1" thickBot="1">
      <c r="A298" s="171" t="s">
        <v>76</v>
      </c>
      <c r="B298" s="170"/>
      <c r="C298" s="160" t="s">
        <v>17</v>
      </c>
      <c r="D298" s="160" t="s">
        <v>91</v>
      </c>
      <c r="E298" s="173" t="s">
        <v>92</v>
      </c>
      <c r="F298" s="160" t="s">
        <v>19</v>
      </c>
      <c r="G298" s="161">
        <v>413</v>
      </c>
      <c r="H298" s="376" t="s">
        <v>431</v>
      </c>
      <c r="I298" s="377"/>
      <c r="J298" s="378"/>
      <c r="L298" s="37"/>
      <c r="M298" s="38"/>
      <c r="N298" s="33"/>
      <c r="O298" s="33"/>
    </row>
    <row r="299" spans="1:15" ht="11.25" customHeight="1">
      <c r="A299" s="402" t="s">
        <v>434</v>
      </c>
      <c r="B299" s="403"/>
      <c r="C299" s="403"/>
      <c r="D299" s="403"/>
      <c r="E299" s="403"/>
      <c r="F299" s="403"/>
      <c r="G299" s="403"/>
      <c r="H299" s="403"/>
      <c r="I299" s="403"/>
      <c r="J299" s="404"/>
      <c r="L299" s="37"/>
      <c r="M299" s="33"/>
      <c r="N299" s="33"/>
      <c r="O299" s="33"/>
    </row>
    <row r="300" spans="1:15" ht="12" customHeight="1" thickBot="1">
      <c r="A300" s="405"/>
      <c r="B300" s="406"/>
      <c r="C300" s="406"/>
      <c r="D300" s="406"/>
      <c r="E300" s="406"/>
      <c r="F300" s="406"/>
      <c r="G300" s="406"/>
      <c r="H300" s="406"/>
      <c r="I300" s="406"/>
      <c r="J300" s="407"/>
      <c r="L300" s="37"/>
      <c r="M300" s="33"/>
      <c r="N300" s="33"/>
      <c r="O300" s="33"/>
    </row>
    <row r="301" spans="1:14" ht="12.75">
      <c r="A301" s="60"/>
      <c r="B301" s="53"/>
      <c r="C301" s="53"/>
      <c r="D301" s="53"/>
      <c r="E301" s="53"/>
      <c r="F301" s="53"/>
      <c r="G301" s="53"/>
      <c r="H301" s="53"/>
      <c r="I301" s="53"/>
      <c r="J301" s="61"/>
      <c r="K301" s="73"/>
      <c r="L301" s="50"/>
      <c r="M301" s="50"/>
      <c r="N301" s="50"/>
    </row>
    <row r="302" spans="1:14" ht="12.75">
      <c r="A302" s="60"/>
      <c r="B302" s="67"/>
      <c r="C302" s="52"/>
      <c r="D302" s="52"/>
      <c r="E302" s="53"/>
      <c r="F302" s="53"/>
      <c r="G302" s="53"/>
      <c r="H302" s="53"/>
      <c r="I302" s="53"/>
      <c r="J302" s="61"/>
      <c r="K302" s="73"/>
      <c r="L302" s="50"/>
      <c r="M302" s="50"/>
      <c r="N302" s="50"/>
    </row>
    <row r="303" spans="1:14" ht="11.25">
      <c r="A303" s="62"/>
      <c r="B303" s="54"/>
      <c r="C303" s="58"/>
      <c r="D303" s="58"/>
      <c r="E303" s="58"/>
      <c r="F303" s="54"/>
      <c r="G303" s="59"/>
      <c r="H303" s="59"/>
      <c r="I303" s="59"/>
      <c r="J303" s="63"/>
      <c r="K303" s="73"/>
      <c r="L303" s="50"/>
      <c r="M303" s="50"/>
      <c r="N303" s="50"/>
    </row>
    <row r="304" spans="1:14" ht="12.75">
      <c r="A304" s="64"/>
      <c r="B304" s="56"/>
      <c r="D304" s="55"/>
      <c r="E304" s="371" t="s">
        <v>332</v>
      </c>
      <c r="F304" s="371"/>
      <c r="G304" s="371"/>
      <c r="H304" s="371"/>
      <c r="I304" s="71"/>
      <c r="J304" s="65"/>
      <c r="K304" s="73"/>
      <c r="L304" s="50"/>
      <c r="M304" s="50"/>
      <c r="N304" s="50"/>
    </row>
    <row r="305" spans="1:14" ht="12.75">
      <c r="A305" s="66"/>
      <c r="B305" s="57"/>
      <c r="D305" s="55"/>
      <c r="E305" s="372" t="s">
        <v>333</v>
      </c>
      <c r="F305" s="372"/>
      <c r="G305" s="372"/>
      <c r="H305" s="372"/>
      <c r="I305" s="72"/>
      <c r="J305" s="65"/>
      <c r="K305" s="73"/>
      <c r="L305" s="50"/>
      <c r="M305" s="50"/>
      <c r="N305" s="50"/>
    </row>
    <row r="306" spans="1:14" ht="13.5" thickBot="1">
      <c r="A306" s="68"/>
      <c r="B306" s="69"/>
      <c r="C306" s="69"/>
      <c r="D306" s="69"/>
      <c r="E306" s="69"/>
      <c r="F306" s="69"/>
      <c r="G306" s="69"/>
      <c r="H306" s="69"/>
      <c r="I306" s="69"/>
      <c r="J306" s="70"/>
      <c r="K306" s="73"/>
      <c r="L306" s="50"/>
      <c r="M306" s="50"/>
      <c r="N306" s="50"/>
    </row>
    <row r="307" spans="1:14" ht="11.25">
      <c r="A307" s="54"/>
      <c r="B307" s="54"/>
      <c r="C307" s="58"/>
      <c r="D307" s="58"/>
      <c r="E307" s="50"/>
      <c r="F307" s="54"/>
      <c r="G307" s="59"/>
      <c r="H307" s="59"/>
      <c r="I307" s="50"/>
      <c r="J307" s="50"/>
      <c r="K307" s="73"/>
      <c r="L307" s="50"/>
      <c r="M307" s="50"/>
      <c r="N307" s="50"/>
    </row>
    <row r="308" spans="1:14" ht="11.25">
      <c r="A308" s="54"/>
      <c r="B308" s="54"/>
      <c r="C308" s="58"/>
      <c r="D308" s="58"/>
      <c r="E308" s="50"/>
      <c r="F308" s="54"/>
      <c r="G308" s="59"/>
      <c r="H308" s="59"/>
      <c r="I308" s="50"/>
      <c r="J308" s="50"/>
      <c r="K308" s="73"/>
      <c r="L308" s="50"/>
      <c r="M308" s="50"/>
      <c r="N308" s="50"/>
    </row>
    <row r="309" spans="1:14" ht="12.75">
      <c r="A309" s="54"/>
      <c r="B309" s="54"/>
      <c r="C309" s="58"/>
      <c r="D309" s="58"/>
      <c r="E309" s="50" t="s">
        <v>95</v>
      </c>
      <c r="F309" s="54"/>
      <c r="G309" s="59"/>
      <c r="H309" s="59"/>
      <c r="I309" s="50"/>
      <c r="J309" s="50"/>
      <c r="K309" s="73"/>
      <c r="L309" s="50"/>
      <c r="M309" s="50"/>
      <c r="N309" s="49"/>
    </row>
  </sheetData>
  <sheetProtection selectLockedCells="1" selectUnlockedCells="1"/>
  <mergeCells count="291">
    <mergeCell ref="H287:J287"/>
    <mergeCell ref="H288:J288"/>
    <mergeCell ref="H211:J211"/>
    <mergeCell ref="H212:J212"/>
    <mergeCell ref="H215:J215"/>
    <mergeCell ref="H216:J216"/>
    <mergeCell ref="H217:J217"/>
    <mergeCell ref="H218:J218"/>
    <mergeCell ref="C219:J219"/>
    <mergeCell ref="H214:J214"/>
    <mergeCell ref="H178:J178"/>
    <mergeCell ref="H179:J179"/>
    <mergeCell ref="H180:J180"/>
    <mergeCell ref="H181:J181"/>
    <mergeCell ref="H267:J267"/>
    <mergeCell ref="A12:J12"/>
    <mergeCell ref="A121:J121"/>
    <mergeCell ref="H175:J175"/>
    <mergeCell ref="H174:J174"/>
    <mergeCell ref="H18:J18"/>
    <mergeCell ref="A1:J6"/>
    <mergeCell ref="A7:J7"/>
    <mergeCell ref="B8:H8"/>
    <mergeCell ref="B9:H9"/>
    <mergeCell ref="A10:J10"/>
    <mergeCell ref="A11:J11"/>
    <mergeCell ref="H19:J19"/>
    <mergeCell ref="H20:J20"/>
    <mergeCell ref="H237:J237"/>
    <mergeCell ref="E21:J21"/>
    <mergeCell ref="E22:J22"/>
    <mergeCell ref="A224:J224"/>
    <mergeCell ref="A225:J225"/>
    <mergeCell ref="D124:J124"/>
    <mergeCell ref="D129:J129"/>
    <mergeCell ref="H128:J128"/>
    <mergeCell ref="H131:J131"/>
    <mergeCell ref="H132:J132"/>
    <mergeCell ref="H13:J13"/>
    <mergeCell ref="H14:J14"/>
    <mergeCell ref="H15:J15"/>
    <mergeCell ref="H16:J16"/>
    <mergeCell ref="H17:J17"/>
    <mergeCell ref="H26:J26"/>
    <mergeCell ref="H27:J27"/>
    <mergeCell ref="H28:J28"/>
    <mergeCell ref="H158:J158"/>
    <mergeCell ref="H126:J126"/>
    <mergeCell ref="H127:J127"/>
    <mergeCell ref="H130:J130"/>
    <mergeCell ref="A122:J122"/>
    <mergeCell ref="H123:J123"/>
    <mergeCell ref="D125:J125"/>
    <mergeCell ref="H138:J138"/>
    <mergeCell ref="C139:J139"/>
    <mergeCell ref="H140:J140"/>
    <mergeCell ref="E29:J29"/>
    <mergeCell ref="H30:J30"/>
    <mergeCell ref="H42:J42"/>
    <mergeCell ref="H31:J31"/>
    <mergeCell ref="H32:J32"/>
    <mergeCell ref="D33:J33"/>
    <mergeCell ref="H34:J34"/>
    <mergeCell ref="H35:J35"/>
    <mergeCell ref="H36:J36"/>
    <mergeCell ref="H44:J44"/>
    <mergeCell ref="D43:J43"/>
    <mergeCell ref="D45:J45"/>
    <mergeCell ref="H46:J46"/>
    <mergeCell ref="D37:J37"/>
    <mergeCell ref="H38:J38"/>
    <mergeCell ref="H39:J39"/>
    <mergeCell ref="H40:J40"/>
    <mergeCell ref="H41:J41"/>
    <mergeCell ref="H47:J47"/>
    <mergeCell ref="H48:J48"/>
    <mergeCell ref="H50:J50"/>
    <mergeCell ref="D49:J49"/>
    <mergeCell ref="H51:J51"/>
    <mergeCell ref="D52:J52"/>
    <mergeCell ref="H53:J53"/>
    <mergeCell ref="H54:J54"/>
    <mergeCell ref="H55:J55"/>
    <mergeCell ref="H56:J56"/>
    <mergeCell ref="D57:J57"/>
    <mergeCell ref="H58:J58"/>
    <mergeCell ref="H59:J59"/>
    <mergeCell ref="H60:J60"/>
    <mergeCell ref="H61:J61"/>
    <mergeCell ref="H62:J62"/>
    <mergeCell ref="H63:J63"/>
    <mergeCell ref="H64:J64"/>
    <mergeCell ref="D65:J65"/>
    <mergeCell ref="H66:J66"/>
    <mergeCell ref="H67:J67"/>
    <mergeCell ref="H70:J70"/>
    <mergeCell ref="H71:J71"/>
    <mergeCell ref="D68:J68"/>
    <mergeCell ref="H83:J83"/>
    <mergeCell ref="D80:J80"/>
    <mergeCell ref="H81:J81"/>
    <mergeCell ref="H72:J72"/>
    <mergeCell ref="H73:J73"/>
    <mergeCell ref="D74:J74"/>
    <mergeCell ref="H75:J75"/>
    <mergeCell ref="H76:J76"/>
    <mergeCell ref="H77:J77"/>
    <mergeCell ref="H78:J78"/>
    <mergeCell ref="H98:J98"/>
    <mergeCell ref="H99:J99"/>
    <mergeCell ref="H100:J100"/>
    <mergeCell ref="H101:J101"/>
    <mergeCell ref="H82:J82"/>
    <mergeCell ref="D89:J89"/>
    <mergeCell ref="H90:J90"/>
    <mergeCell ref="H91:J91"/>
    <mergeCell ref="H92:J92"/>
    <mergeCell ref="H93:J93"/>
    <mergeCell ref="H102:J102"/>
    <mergeCell ref="H103:J103"/>
    <mergeCell ref="H104:J104"/>
    <mergeCell ref="H106:J106"/>
    <mergeCell ref="H107:J107"/>
    <mergeCell ref="H94:J94"/>
    <mergeCell ref="H95:J95"/>
    <mergeCell ref="D105:J105"/>
    <mergeCell ref="H96:J96"/>
    <mergeCell ref="H97:J97"/>
    <mergeCell ref="H108:J108"/>
    <mergeCell ref="H109:J109"/>
    <mergeCell ref="H110:J110"/>
    <mergeCell ref="H111:J111"/>
    <mergeCell ref="H112:J112"/>
    <mergeCell ref="H113:J113"/>
    <mergeCell ref="A119:J119"/>
    <mergeCell ref="H25:J25"/>
    <mergeCell ref="H24:J24"/>
    <mergeCell ref="H23:J23"/>
    <mergeCell ref="D114:J114"/>
    <mergeCell ref="H115:J115"/>
    <mergeCell ref="H116:J116"/>
    <mergeCell ref="D117:J117"/>
    <mergeCell ref="H118:J118"/>
    <mergeCell ref="H84:J84"/>
    <mergeCell ref="C141:J141"/>
    <mergeCell ref="H142:J142"/>
    <mergeCell ref="C133:J133"/>
    <mergeCell ref="H134:J134"/>
    <mergeCell ref="H135:J135"/>
    <mergeCell ref="H136:J136"/>
    <mergeCell ref="H137:J137"/>
    <mergeCell ref="H143:J143"/>
    <mergeCell ref="H146:J146"/>
    <mergeCell ref="H147:J147"/>
    <mergeCell ref="H148:J148"/>
    <mergeCell ref="H149:J149"/>
    <mergeCell ref="H150:J150"/>
    <mergeCell ref="H144:J144"/>
    <mergeCell ref="C145:J145"/>
    <mergeCell ref="C151:J151"/>
    <mergeCell ref="H152:J152"/>
    <mergeCell ref="H153:J153"/>
    <mergeCell ref="H154:J154"/>
    <mergeCell ref="H155:J155"/>
    <mergeCell ref="H157:J157"/>
    <mergeCell ref="H156:J156"/>
    <mergeCell ref="H160:J160"/>
    <mergeCell ref="H161:J161"/>
    <mergeCell ref="C159:J159"/>
    <mergeCell ref="C162:J162"/>
    <mergeCell ref="H165:J165"/>
    <mergeCell ref="H166:J166"/>
    <mergeCell ref="H164:J164"/>
    <mergeCell ref="H167:J167"/>
    <mergeCell ref="H168:J168"/>
    <mergeCell ref="H169:J169"/>
    <mergeCell ref="H177:J177"/>
    <mergeCell ref="H195:J195"/>
    <mergeCell ref="H196:J196"/>
    <mergeCell ref="C182:J182"/>
    <mergeCell ref="C176:J176"/>
    <mergeCell ref="C170:J170"/>
    <mergeCell ref="H187:J187"/>
    <mergeCell ref="H206:J206"/>
    <mergeCell ref="H207:J207"/>
    <mergeCell ref="H208:J208"/>
    <mergeCell ref="C209:J209"/>
    <mergeCell ref="H197:J197"/>
    <mergeCell ref="H198:J198"/>
    <mergeCell ref="H199:J199"/>
    <mergeCell ref="H200:J200"/>
    <mergeCell ref="H201:J201"/>
    <mergeCell ref="H202:J202"/>
    <mergeCell ref="H229:J229"/>
    <mergeCell ref="H230:J230"/>
    <mergeCell ref="H231:J231"/>
    <mergeCell ref="H233:J233"/>
    <mergeCell ref="H171:J171"/>
    <mergeCell ref="H173:J173"/>
    <mergeCell ref="H183:J183"/>
    <mergeCell ref="H184:J184"/>
    <mergeCell ref="H185:J185"/>
    <mergeCell ref="H186:J186"/>
    <mergeCell ref="H172:J172"/>
    <mergeCell ref="H194:J194"/>
    <mergeCell ref="H205:J205"/>
    <mergeCell ref="C193:J193"/>
    <mergeCell ref="H271:J271"/>
    <mergeCell ref="H260:J260"/>
    <mergeCell ref="C259:J259"/>
    <mergeCell ref="H203:J203"/>
    <mergeCell ref="H204:J204"/>
    <mergeCell ref="C236:J236"/>
    <mergeCell ref="H276:J276"/>
    <mergeCell ref="H289:J289"/>
    <mergeCell ref="H290:J290"/>
    <mergeCell ref="C285:J285"/>
    <mergeCell ref="H261:J261"/>
    <mergeCell ref="H278:J278"/>
    <mergeCell ref="H279:J279"/>
    <mergeCell ref="H280:J280"/>
    <mergeCell ref="H283:J283"/>
    <mergeCell ref="H277:J277"/>
    <mergeCell ref="H282:J282"/>
    <mergeCell ref="H273:J273"/>
    <mergeCell ref="H274:J274"/>
    <mergeCell ref="H275:J275"/>
    <mergeCell ref="H239:J239"/>
    <mergeCell ref="H241:J241"/>
    <mergeCell ref="H243:J243"/>
    <mergeCell ref="C242:J242"/>
    <mergeCell ref="H247:J247"/>
    <mergeCell ref="C256:J256"/>
    <mergeCell ref="H296:J296"/>
    <mergeCell ref="H251:J251"/>
    <mergeCell ref="H252:J252"/>
    <mergeCell ref="H262:J262"/>
    <mergeCell ref="C269:J269"/>
    <mergeCell ref="H268:J268"/>
    <mergeCell ref="H270:J270"/>
    <mergeCell ref="H286:J286"/>
    <mergeCell ref="H272:J272"/>
    <mergeCell ref="H281:J281"/>
    <mergeCell ref="H266:J266"/>
    <mergeCell ref="C248:J248"/>
    <mergeCell ref="A299:J300"/>
    <mergeCell ref="H294:J294"/>
    <mergeCell ref="H291:J291"/>
    <mergeCell ref="H292:J292"/>
    <mergeCell ref="H293:J293"/>
    <mergeCell ref="H298:J298"/>
    <mergeCell ref="C297:J297"/>
    <mergeCell ref="H295:J295"/>
    <mergeCell ref="H265:J265"/>
    <mergeCell ref="C238:J238"/>
    <mergeCell ref="H264:J264"/>
    <mergeCell ref="H258:J258"/>
    <mergeCell ref="H244:J244"/>
    <mergeCell ref="H245:J245"/>
    <mergeCell ref="H246:J246"/>
    <mergeCell ref="H250:J250"/>
    <mergeCell ref="H192:J192"/>
    <mergeCell ref="H253:J253"/>
    <mergeCell ref="H254:J254"/>
    <mergeCell ref="H255:J255"/>
    <mergeCell ref="H257:J257"/>
    <mergeCell ref="C228:J228"/>
    <mergeCell ref="H234:J234"/>
    <mergeCell ref="C232:J232"/>
    <mergeCell ref="C227:J227"/>
    <mergeCell ref="H210:J210"/>
    <mergeCell ref="H213:J213"/>
    <mergeCell ref="H79:J79"/>
    <mergeCell ref="H284:J284"/>
    <mergeCell ref="H191:J191"/>
    <mergeCell ref="H190:J190"/>
    <mergeCell ref="H189:J189"/>
    <mergeCell ref="H188:J188"/>
    <mergeCell ref="H263:J263"/>
    <mergeCell ref="H249:J249"/>
    <mergeCell ref="E304:H304"/>
    <mergeCell ref="E305:H305"/>
    <mergeCell ref="H85:J85"/>
    <mergeCell ref="H86:J86"/>
    <mergeCell ref="H87:J87"/>
    <mergeCell ref="H88:J88"/>
    <mergeCell ref="H240:J240"/>
    <mergeCell ref="A221:J222"/>
    <mergeCell ref="H235:J235"/>
    <mergeCell ref="H220:J220"/>
  </mergeCells>
  <printOptions horizontalCentered="1" verticalCentered="1"/>
  <pageMargins left="0.19652777777777777" right="0.19652777777777777" top="0.39375" bottom="0.39375" header="0.2361111111111111" footer="0.2361111111111111"/>
  <pageSetup fitToHeight="0" fitToWidth="1" horizontalDpi="600" verticalDpi="600" orientation="portrait" paperSize="9" scale="65" r:id="rId3"/>
  <headerFooter alignWithMargins="0">
    <oddHeader>&amp;C&amp;A</oddHeader>
    <oddFooter>&amp;CPágina &amp;P</oddFooter>
  </headerFooter>
  <legacyDrawing r:id="rId2"/>
  <oleObjects>
    <oleObject progId="" shapeId="1611084" r:id="rId1"/>
  </oleObjects>
</worksheet>
</file>

<file path=xl/worksheets/sheet3.xml><?xml version="1.0" encoding="utf-8"?>
<worksheet xmlns="http://schemas.openxmlformats.org/spreadsheetml/2006/main" xmlns:r="http://schemas.openxmlformats.org/officeDocument/2006/relationships">
  <sheetPr>
    <pageSetUpPr fitToPage="1"/>
  </sheetPr>
  <dimension ref="B6:K41"/>
  <sheetViews>
    <sheetView view="pageBreakPreview" zoomScaleSheetLayoutView="100" zoomScalePageLayoutView="0" workbookViewId="0" topLeftCell="A15">
      <selection activeCell="B6" sqref="B6:H42"/>
    </sheetView>
  </sheetViews>
  <sheetFormatPr defaultColWidth="9.00390625" defaultRowHeight="12.75"/>
  <cols>
    <col min="1" max="4" width="9.00390625" style="0" customWidth="1"/>
    <col min="5" max="5" width="39.28125" style="0" customWidth="1"/>
    <col min="6" max="6" width="9.00390625" style="0" customWidth="1"/>
    <col min="7" max="7" width="13.421875" style="0" customWidth="1"/>
    <col min="8" max="8" width="13.28125" style="0" customWidth="1"/>
    <col min="9" max="10" width="9.00390625" style="0" customWidth="1"/>
    <col min="11" max="11" width="44.00390625" style="0" customWidth="1"/>
  </cols>
  <sheetData>
    <row r="6" spans="2:8" ht="12.75" customHeight="1">
      <c r="B6" s="488"/>
      <c r="C6" s="488"/>
      <c r="D6" s="488"/>
      <c r="E6" s="489" t="s">
        <v>519</v>
      </c>
      <c r="F6" s="489"/>
      <c r="G6" s="489"/>
      <c r="H6" s="489"/>
    </row>
    <row r="7" spans="2:8" ht="12.75">
      <c r="B7" s="488"/>
      <c r="C7" s="488"/>
      <c r="D7" s="488"/>
      <c r="E7" s="489"/>
      <c r="F7" s="489"/>
      <c r="G7" s="489"/>
      <c r="H7" s="489"/>
    </row>
    <row r="8" spans="2:8" ht="12.75">
      <c r="B8" s="488"/>
      <c r="C8" s="488"/>
      <c r="D8" s="488"/>
      <c r="E8" s="489"/>
      <c r="F8" s="489"/>
      <c r="G8" s="489"/>
      <c r="H8" s="489"/>
    </row>
    <row r="9" spans="2:8" ht="12.75">
      <c r="B9" s="488"/>
      <c r="C9" s="488"/>
      <c r="D9" s="488"/>
      <c r="E9" s="489"/>
      <c r="F9" s="489"/>
      <c r="G9" s="489"/>
      <c r="H9" s="489"/>
    </row>
    <row r="10" spans="2:8" ht="12.75">
      <c r="B10" s="488"/>
      <c r="C10" s="488"/>
      <c r="D10" s="488"/>
      <c r="E10" s="489"/>
      <c r="F10" s="489"/>
      <c r="G10" s="489"/>
      <c r="H10" s="489"/>
    </row>
    <row r="11" spans="2:8" ht="12.75">
      <c r="B11" s="488"/>
      <c r="C11" s="488"/>
      <c r="D11" s="488"/>
      <c r="E11" s="489"/>
      <c r="F11" s="489"/>
      <c r="G11" s="489"/>
      <c r="H11" s="489"/>
    </row>
    <row r="12" spans="2:8" ht="42" customHeight="1">
      <c r="B12" s="490" t="s">
        <v>189</v>
      </c>
      <c r="C12" s="490"/>
      <c r="D12" s="490"/>
      <c r="E12" s="490"/>
      <c r="F12" s="490"/>
      <c r="G12" s="490"/>
      <c r="H12" s="490"/>
    </row>
    <row r="13" spans="2:8" ht="25.5" customHeight="1">
      <c r="B13" s="491" t="s">
        <v>96</v>
      </c>
      <c r="C13" s="491"/>
      <c r="D13" s="491"/>
      <c r="E13" s="7" t="s">
        <v>334</v>
      </c>
      <c r="F13" s="492" t="s">
        <v>2</v>
      </c>
      <c r="G13" s="492"/>
      <c r="H13" s="11">
        <v>44407</v>
      </c>
    </row>
    <row r="14" spans="2:8" ht="13.5" customHeight="1">
      <c r="B14" s="493" t="s">
        <v>97</v>
      </c>
      <c r="C14" s="493"/>
      <c r="D14" s="493"/>
      <c r="E14" s="12" t="s">
        <v>1</v>
      </c>
      <c r="F14" s="494" t="s">
        <v>4</v>
      </c>
      <c r="G14" s="494"/>
      <c r="H14" s="13">
        <v>0.2286</v>
      </c>
    </row>
    <row r="15" spans="2:8" ht="12.75">
      <c r="B15" s="14"/>
      <c r="C15" s="15"/>
      <c r="D15" s="15"/>
      <c r="E15" s="9"/>
      <c r="F15" s="15"/>
      <c r="G15" s="15"/>
      <c r="H15" s="16"/>
    </row>
    <row r="16" spans="2:8" ht="15.75" customHeight="1">
      <c r="B16" s="485" t="s">
        <v>98</v>
      </c>
      <c r="C16" s="485"/>
      <c r="D16" s="485"/>
      <c r="E16" s="485"/>
      <c r="F16" s="485"/>
      <c r="G16" s="485"/>
      <c r="H16" s="485"/>
    </row>
    <row r="17" spans="2:8" ht="13.5" customHeight="1">
      <c r="B17" s="486" t="s">
        <v>99</v>
      </c>
      <c r="C17" s="486"/>
      <c r="D17" s="486"/>
      <c r="E17" s="486"/>
      <c r="F17" s="486"/>
      <c r="G17" s="17" t="s">
        <v>100</v>
      </c>
      <c r="H17" s="18" t="s">
        <v>101</v>
      </c>
    </row>
    <row r="18" spans="2:8" ht="12.75" customHeight="1">
      <c r="B18" s="487" t="s">
        <v>102</v>
      </c>
      <c r="C18" s="487"/>
      <c r="D18" s="487"/>
      <c r="E18" s="487"/>
      <c r="F18" s="487"/>
      <c r="G18" s="19" t="s">
        <v>103</v>
      </c>
      <c r="H18" s="20">
        <v>1</v>
      </c>
    </row>
    <row r="19" spans="2:8" ht="12.75" customHeight="1">
      <c r="B19" s="479" t="s">
        <v>104</v>
      </c>
      <c r="C19" s="479"/>
      <c r="D19" s="479"/>
      <c r="E19" s="479"/>
      <c r="F19" s="479"/>
      <c r="G19" s="21" t="s">
        <v>105</v>
      </c>
      <c r="H19" s="22">
        <v>0.0368</v>
      </c>
    </row>
    <row r="20" spans="2:8" ht="12.75" customHeight="1">
      <c r="B20" s="479" t="s">
        <v>106</v>
      </c>
      <c r="C20" s="479"/>
      <c r="D20" s="479"/>
      <c r="E20" s="479"/>
      <c r="F20" s="479"/>
      <c r="G20" s="23" t="s">
        <v>107</v>
      </c>
      <c r="H20" s="22">
        <v>0.052</v>
      </c>
    </row>
    <row r="21" spans="2:8" ht="12.75" customHeight="1">
      <c r="B21" s="479" t="s">
        <v>108</v>
      </c>
      <c r="C21" s="479"/>
      <c r="D21" s="479"/>
      <c r="E21" s="479"/>
      <c r="F21" s="479"/>
      <c r="G21" s="23" t="s">
        <v>109</v>
      </c>
      <c r="H21" s="22">
        <v>0.0014</v>
      </c>
    </row>
    <row r="22" spans="2:8" ht="12.75" customHeight="1">
      <c r="B22" s="479" t="s">
        <v>110</v>
      </c>
      <c r="C22" s="479"/>
      <c r="D22" s="479"/>
      <c r="E22" s="479"/>
      <c r="F22" s="479"/>
      <c r="G22" s="23"/>
      <c r="H22" s="22">
        <v>0.0227</v>
      </c>
    </row>
    <row r="23" spans="2:8" ht="12.75" customHeight="1">
      <c r="B23" s="479" t="s">
        <v>111</v>
      </c>
      <c r="C23" s="479"/>
      <c r="D23" s="479"/>
      <c r="E23" s="479"/>
      <c r="F23" s="479"/>
      <c r="G23" s="21" t="s">
        <v>486</v>
      </c>
      <c r="H23" s="22">
        <v>0.01</v>
      </c>
    </row>
    <row r="24" spans="2:8" ht="12.75" customHeight="1">
      <c r="B24" s="479" t="s">
        <v>112</v>
      </c>
      <c r="C24" s="479"/>
      <c r="D24" s="479"/>
      <c r="E24" s="479"/>
      <c r="F24" s="479"/>
      <c r="G24" s="23" t="s">
        <v>113</v>
      </c>
      <c r="H24" s="22">
        <v>0.0127</v>
      </c>
    </row>
    <row r="25" spans="2:8" ht="12.75" customHeight="1">
      <c r="B25" s="479" t="s">
        <v>114</v>
      </c>
      <c r="C25" s="479"/>
      <c r="D25" s="479"/>
      <c r="E25" s="479"/>
      <c r="F25" s="479"/>
      <c r="G25" s="23" t="s">
        <v>115</v>
      </c>
      <c r="H25" s="22">
        <v>0.0465</v>
      </c>
    </row>
    <row r="26" spans="2:8" ht="12.75" customHeight="1">
      <c r="B26" s="479" t="s">
        <v>116</v>
      </c>
      <c r="C26" s="479"/>
      <c r="D26" s="479"/>
      <c r="E26" s="479"/>
      <c r="F26" s="479"/>
      <c r="G26" s="23" t="s">
        <v>116</v>
      </c>
      <c r="H26" s="22">
        <v>0.01</v>
      </c>
    </row>
    <row r="27" spans="2:8" ht="12.75" customHeight="1">
      <c r="B27" s="479" t="s">
        <v>117</v>
      </c>
      <c r="C27" s="479"/>
      <c r="D27" s="479"/>
      <c r="E27" s="479"/>
      <c r="F27" s="479"/>
      <c r="G27" s="23" t="s">
        <v>117</v>
      </c>
      <c r="H27" s="22">
        <v>0.0065</v>
      </c>
    </row>
    <row r="28" spans="2:8" ht="12.75" customHeight="1">
      <c r="B28" s="479" t="s">
        <v>118</v>
      </c>
      <c r="C28" s="479"/>
      <c r="D28" s="479"/>
      <c r="E28" s="479"/>
      <c r="F28" s="479"/>
      <c r="G28" s="23" t="s">
        <v>118</v>
      </c>
      <c r="H28" s="22">
        <v>0.03</v>
      </c>
    </row>
    <row r="29" spans="2:8" ht="12.75" customHeight="1">
      <c r="B29" s="479" t="s">
        <v>119</v>
      </c>
      <c r="C29" s="479"/>
      <c r="D29" s="479"/>
      <c r="E29" s="479"/>
      <c r="F29" s="479"/>
      <c r="G29" s="23" t="s">
        <v>120</v>
      </c>
      <c r="H29" s="22">
        <v>0.045</v>
      </c>
    </row>
    <row r="30" spans="2:8" ht="12.75" customHeight="1">
      <c r="B30" s="480" t="s">
        <v>121</v>
      </c>
      <c r="C30" s="480"/>
      <c r="D30" s="480"/>
      <c r="E30" s="480"/>
      <c r="F30" s="480"/>
      <c r="G30" s="24" t="s">
        <v>4</v>
      </c>
      <c r="H30" s="25">
        <v>0.2286</v>
      </c>
    </row>
    <row r="31" spans="2:8" ht="13.5" customHeight="1">
      <c r="B31" s="481"/>
      <c r="C31" s="481"/>
      <c r="D31" s="481"/>
      <c r="E31" s="481"/>
      <c r="F31" s="481"/>
      <c r="G31" s="26"/>
      <c r="H31" s="27"/>
    </row>
    <row r="32" spans="2:8" ht="12.75" customHeight="1">
      <c r="B32" s="482" t="s">
        <v>122</v>
      </c>
      <c r="C32" s="482"/>
      <c r="D32" s="482"/>
      <c r="E32" s="482"/>
      <c r="F32" s="482"/>
      <c r="G32" s="482"/>
      <c r="H32" s="482"/>
    </row>
    <row r="33" spans="2:8" ht="12.75">
      <c r="B33" s="28"/>
      <c r="C33" s="26"/>
      <c r="D33" s="26"/>
      <c r="E33" s="26"/>
      <c r="F33" s="26"/>
      <c r="G33" s="26"/>
      <c r="H33" s="311"/>
    </row>
    <row r="34" spans="2:8" ht="12.75">
      <c r="B34" s="28"/>
      <c r="C34" s="26"/>
      <c r="D34" s="483" t="s">
        <v>123</v>
      </c>
      <c r="E34" s="29" t="s">
        <v>124</v>
      </c>
      <c r="F34" s="484"/>
      <c r="G34" s="26"/>
      <c r="H34" s="27"/>
    </row>
    <row r="35" spans="2:8" ht="12.75">
      <c r="B35" s="28"/>
      <c r="C35" s="26"/>
      <c r="D35" s="483"/>
      <c r="E35" s="10" t="s">
        <v>125</v>
      </c>
      <c r="F35" s="484"/>
      <c r="G35" s="26"/>
      <c r="H35" s="27"/>
    </row>
    <row r="36" spans="2:8" ht="12.75">
      <c r="B36" s="30"/>
      <c r="C36" s="31"/>
      <c r="D36" s="31"/>
      <c r="E36" s="31"/>
      <c r="F36" s="31"/>
      <c r="G36" s="31"/>
      <c r="H36" s="32"/>
    </row>
    <row r="37" spans="2:8" ht="12.75">
      <c r="B37" s="28"/>
      <c r="C37" s="26"/>
      <c r="D37" s="26"/>
      <c r="E37" s="26"/>
      <c r="F37" s="26"/>
      <c r="G37" s="26"/>
      <c r="H37" s="27"/>
    </row>
    <row r="38" spans="2:11" ht="27" customHeight="1" thickBot="1">
      <c r="B38" s="470" t="s">
        <v>126</v>
      </c>
      <c r="C38" s="470"/>
      <c r="D38" s="470"/>
      <c r="E38" s="470"/>
      <c r="F38" s="470"/>
      <c r="G38" s="470"/>
      <c r="H38" s="470"/>
      <c r="K38" s="310"/>
    </row>
    <row r="39" spans="2:8" ht="13.5" customHeight="1" thickBot="1">
      <c r="B39" s="471"/>
      <c r="C39" s="471"/>
      <c r="D39" s="471"/>
      <c r="E39" s="471"/>
      <c r="F39" s="472"/>
      <c r="G39" s="472"/>
      <c r="H39" s="472"/>
    </row>
    <row r="40" spans="2:8" ht="77.25" customHeight="1">
      <c r="B40" s="473" t="s">
        <v>485</v>
      </c>
      <c r="C40" s="474"/>
      <c r="D40" s="474"/>
      <c r="E40" s="474"/>
      <c r="F40" s="474"/>
      <c r="G40" s="474"/>
      <c r="H40" s="475"/>
    </row>
    <row r="41" spans="2:8" ht="16.5" customHeight="1" thickBot="1">
      <c r="B41" s="476"/>
      <c r="C41" s="477"/>
      <c r="D41" s="477"/>
      <c r="E41" s="477"/>
      <c r="F41" s="477"/>
      <c r="G41" s="477"/>
      <c r="H41" s="478"/>
    </row>
  </sheetData>
  <sheetProtection password="995A" sheet="1"/>
  <mergeCells count="31">
    <mergeCell ref="B6:D11"/>
    <mergeCell ref="E6:H11"/>
    <mergeCell ref="B12:H12"/>
    <mergeCell ref="B13:D13"/>
    <mergeCell ref="F13:G13"/>
    <mergeCell ref="B14:D14"/>
    <mergeCell ref="F14:G14"/>
    <mergeCell ref="B16:H16"/>
    <mergeCell ref="B17:F17"/>
    <mergeCell ref="B18:F18"/>
    <mergeCell ref="B19:F19"/>
    <mergeCell ref="B20:F20"/>
    <mergeCell ref="B21:F21"/>
    <mergeCell ref="D34:D35"/>
    <mergeCell ref="F34:F35"/>
    <mergeCell ref="B22:F22"/>
    <mergeCell ref="B23:F23"/>
    <mergeCell ref="B24:F24"/>
    <mergeCell ref="B25:F25"/>
    <mergeCell ref="B26:F26"/>
    <mergeCell ref="B27:F27"/>
    <mergeCell ref="B38:H38"/>
    <mergeCell ref="B39:E39"/>
    <mergeCell ref="F39:H39"/>
    <mergeCell ref="B40:H40"/>
    <mergeCell ref="B41:H41"/>
    <mergeCell ref="B28:F28"/>
    <mergeCell ref="B29:F29"/>
    <mergeCell ref="B30:F30"/>
    <mergeCell ref="B31:F31"/>
    <mergeCell ref="B32:H32"/>
  </mergeCells>
  <printOptions horizontalCentered="1" verticalCentered="1"/>
  <pageMargins left="0.5118055555555555" right="0.5118055555555555" top="0.7875" bottom="0.7875" header="0.5118055555555555" footer="0.5118055555555555"/>
  <pageSetup fitToHeight="0" fitToWidth="1" horizontalDpi="600" verticalDpi="600" orientation="portrait" paperSize="9" scale="92" r:id="rId3"/>
  <legacyDrawing r:id="rId2"/>
  <oleObjects>
    <oleObject progId="" shapeId="14428262" r:id="rId1"/>
  </oleObjects>
</worksheet>
</file>

<file path=xl/worksheets/sheet4.xml><?xml version="1.0" encoding="utf-8"?>
<worksheet xmlns="http://schemas.openxmlformats.org/spreadsheetml/2006/main" xmlns:r="http://schemas.openxmlformats.org/officeDocument/2006/relationships">
  <sheetPr>
    <pageSetUpPr fitToPage="1"/>
  </sheetPr>
  <dimension ref="A1:P134"/>
  <sheetViews>
    <sheetView view="pageBreakPreview" zoomScale="96" zoomScaleSheetLayoutView="96" zoomScalePageLayoutView="0" workbookViewId="0" topLeftCell="A11">
      <selection activeCell="A1" sqref="A1:O43"/>
    </sheetView>
  </sheetViews>
  <sheetFormatPr defaultColWidth="11.421875" defaultRowHeight="12.75"/>
  <cols>
    <col min="1" max="1" width="5.421875" style="1107" customWidth="1"/>
    <col min="2" max="2" width="23.00390625" style="503" customWidth="1"/>
    <col min="3" max="3" width="14.00390625" style="1107" customWidth="1"/>
    <col min="4" max="4" width="15.8515625" style="1108" customWidth="1"/>
    <col min="5" max="5" width="14.28125" style="1108" customWidth="1"/>
    <col min="6" max="6" width="14.7109375" style="1108" customWidth="1"/>
    <col min="7" max="7" width="15.7109375" style="503" customWidth="1"/>
    <col min="8" max="8" width="14.57421875" style="503" customWidth="1"/>
    <col min="9" max="9" width="15.8515625" style="503" customWidth="1"/>
    <col min="10" max="10" width="16.140625" style="503" customWidth="1"/>
    <col min="11" max="11" width="16.57421875" style="503" customWidth="1"/>
    <col min="12" max="12" width="17.7109375" style="503" customWidth="1"/>
    <col min="13" max="13" width="12.57421875" style="503" customWidth="1"/>
    <col min="14" max="14" width="11.421875" style="503" hidden="1" customWidth="1"/>
    <col min="15" max="15" width="4.140625" style="503" customWidth="1"/>
    <col min="16" max="16" width="12.28125" style="503" hidden="1" customWidth="1"/>
    <col min="17" max="16384" width="0" style="503" hidden="1" customWidth="1"/>
  </cols>
  <sheetData>
    <row r="1" spans="1:15" ht="67.5" customHeight="1" thickBot="1">
      <c r="A1" s="1110"/>
      <c r="B1" s="1111"/>
      <c r="C1" s="1112"/>
      <c r="D1" s="1112"/>
      <c r="E1" s="1112"/>
      <c r="F1" s="1112"/>
      <c r="G1" s="1112"/>
      <c r="H1" s="1112"/>
      <c r="I1" s="1112"/>
      <c r="J1" s="1112"/>
      <c r="K1" s="1112"/>
      <c r="L1" s="1112"/>
      <c r="M1" s="1111"/>
      <c r="N1" s="1111"/>
      <c r="O1" s="1113"/>
    </row>
    <row r="2" spans="1:15" ht="12.75" hidden="1">
      <c r="A2" s="1114"/>
      <c r="B2" s="1115"/>
      <c r="C2" s="1116"/>
      <c r="D2" s="1116"/>
      <c r="E2" s="1116"/>
      <c r="F2" s="1116"/>
      <c r="G2" s="1116"/>
      <c r="H2" s="1116"/>
      <c r="I2" s="1116"/>
      <c r="J2" s="1116"/>
      <c r="K2" s="1116"/>
      <c r="L2" s="1116"/>
      <c r="M2" s="1115"/>
      <c r="N2" s="1115"/>
      <c r="O2" s="1117"/>
    </row>
    <row r="3" spans="1:15" ht="16.5" customHeight="1" hidden="1">
      <c r="A3" s="1118"/>
      <c r="B3" s="1119"/>
      <c r="C3" s="1119"/>
      <c r="D3" s="1119"/>
      <c r="E3" s="1119"/>
      <c r="F3" s="1119"/>
      <c r="G3" s="1119"/>
      <c r="H3" s="1119"/>
      <c r="I3" s="1119"/>
      <c r="J3" s="1119"/>
      <c r="K3" s="1119"/>
      <c r="L3" s="1119"/>
      <c r="M3" s="1119"/>
      <c r="N3" s="1119"/>
      <c r="O3" s="1120"/>
    </row>
    <row r="4" spans="1:15" ht="18.75" customHeight="1" thickBot="1">
      <c r="A4" s="1121" t="s">
        <v>127</v>
      </c>
      <c r="B4" s="1122"/>
      <c r="C4" s="1122"/>
      <c r="D4" s="1122"/>
      <c r="E4" s="1122"/>
      <c r="F4" s="1122"/>
      <c r="G4" s="1122"/>
      <c r="H4" s="1122"/>
      <c r="I4" s="1122"/>
      <c r="J4" s="1122"/>
      <c r="K4" s="1122"/>
      <c r="L4" s="1122"/>
      <c r="M4" s="1122"/>
      <c r="N4" s="1122"/>
      <c r="O4" s="1123"/>
    </row>
    <row r="5" spans="1:15" ht="13.5" customHeight="1" thickBot="1">
      <c r="A5" s="1124" t="s">
        <v>128</v>
      </c>
      <c r="B5" s="1125"/>
      <c r="C5" s="1126" t="s">
        <v>129</v>
      </c>
      <c r="D5" s="1127"/>
      <c r="E5" s="1128"/>
      <c r="F5" s="1129">
        <f>M38</f>
        <v>1993833.0687306651</v>
      </c>
      <c r="G5" s="1130"/>
      <c r="H5" s="1131"/>
      <c r="I5" s="1132"/>
      <c r="J5" s="1132"/>
      <c r="K5" s="1132"/>
      <c r="L5" s="1133"/>
      <c r="M5" s="1134" t="s">
        <v>497</v>
      </c>
      <c r="N5" s="1134"/>
      <c r="O5" s="1135"/>
    </row>
    <row r="6" spans="1:15" ht="25.5" customHeight="1" thickBot="1">
      <c r="A6" s="1136" t="s">
        <v>189</v>
      </c>
      <c r="B6" s="1137"/>
      <c r="C6" s="1137"/>
      <c r="D6" s="1137"/>
      <c r="E6" s="1137"/>
      <c r="F6" s="1137"/>
      <c r="G6" s="1137"/>
      <c r="H6" s="1137"/>
      <c r="I6" s="1137"/>
      <c r="J6" s="1137"/>
      <c r="K6" s="1137"/>
      <c r="L6" s="1138"/>
      <c r="M6" s="1139" t="s">
        <v>446</v>
      </c>
      <c r="N6" s="1139"/>
      <c r="O6" s="1140"/>
    </row>
    <row r="7" spans="1:15" ht="27" customHeight="1" thickBot="1">
      <c r="A7" s="1141" t="s">
        <v>130</v>
      </c>
      <c r="B7" s="1142" t="s">
        <v>131</v>
      </c>
      <c r="C7" s="1143" t="s">
        <v>132</v>
      </c>
      <c r="D7" s="1143" t="s">
        <v>133</v>
      </c>
      <c r="E7" s="1142" t="s">
        <v>134</v>
      </c>
      <c r="F7" s="1142" t="s">
        <v>135</v>
      </c>
      <c r="G7" s="1142" t="s">
        <v>136</v>
      </c>
      <c r="H7" s="1142" t="s">
        <v>441</v>
      </c>
      <c r="I7" s="1142" t="s">
        <v>442</v>
      </c>
      <c r="J7" s="1142" t="s">
        <v>443</v>
      </c>
      <c r="K7" s="1142" t="s">
        <v>444</v>
      </c>
      <c r="L7" s="1144" t="s">
        <v>445</v>
      </c>
      <c r="M7" s="1145"/>
      <c r="N7" s="1146"/>
      <c r="O7" s="1147"/>
    </row>
    <row r="8" spans="1:15" ht="12.75" customHeight="1">
      <c r="A8" s="1148">
        <v>1</v>
      </c>
      <c r="B8" s="1149" t="str">
        <f>'PLAN. QUANTITATIVA'!E16</f>
        <v>SERVIÇOS PRELIMINARES</v>
      </c>
      <c r="C8" s="1150" t="s">
        <v>137</v>
      </c>
      <c r="D8" s="1151">
        <f>D9/F5</f>
        <v>0.012442567500031927</v>
      </c>
      <c r="E8" s="1151">
        <v>1</v>
      </c>
      <c r="F8" s="1151"/>
      <c r="G8" s="1151"/>
      <c r="H8" s="1151"/>
      <c r="I8" s="1151"/>
      <c r="J8" s="1151"/>
      <c r="K8" s="1151"/>
      <c r="L8" s="1152"/>
      <c r="M8" s="1153"/>
      <c r="N8" s="1154"/>
      <c r="O8" s="1155"/>
    </row>
    <row r="9" spans="1:16" ht="12.75" customHeight="1" thickBot="1">
      <c r="A9" s="1156"/>
      <c r="B9" s="1157"/>
      <c r="C9" s="1158" t="s">
        <v>138</v>
      </c>
      <c r="D9" s="1159">
        <f>'PLAN. QUANTITATIVA'!J22</f>
        <v>24808.4025414771</v>
      </c>
      <c r="E9" s="1159">
        <f>E8*$D$9</f>
        <v>24808.4025414771</v>
      </c>
      <c r="F9" s="1159"/>
      <c r="G9" s="1159"/>
      <c r="H9" s="1159"/>
      <c r="I9" s="1159"/>
      <c r="J9" s="1159"/>
      <c r="K9" s="1159"/>
      <c r="L9" s="1160"/>
      <c r="M9" s="1161">
        <f>SUM('PLAN. QUANTITATIVA'!J22)</f>
        <v>24808.4025414771</v>
      </c>
      <c r="N9" s="1162"/>
      <c r="O9" s="1163"/>
      <c r="P9" s="1164">
        <f>E9</f>
        <v>24808.4025414771</v>
      </c>
    </row>
    <row r="10" spans="1:15" s="540" customFormat="1" ht="12.75" customHeight="1">
      <c r="A10" s="1165">
        <v>2</v>
      </c>
      <c r="B10" s="1166" t="str">
        <f>'PLAN. QUANTITATIVA'!E24</f>
        <v>ESTRUTURAL</v>
      </c>
      <c r="C10" s="1167" t="s">
        <v>137</v>
      </c>
      <c r="D10" s="1168">
        <f>D11/F5</f>
        <v>0.22573884129731453</v>
      </c>
      <c r="E10" s="1168">
        <v>0.1</v>
      </c>
      <c r="F10" s="1168">
        <v>0.2</v>
      </c>
      <c r="G10" s="1168">
        <v>0.5</v>
      </c>
      <c r="H10" s="1168">
        <v>0.2</v>
      </c>
      <c r="I10" s="1169"/>
      <c r="J10" s="1169"/>
      <c r="K10" s="1168"/>
      <c r="L10" s="1170"/>
      <c r="M10" s="1171">
        <f>E10+F10+G10+H10</f>
        <v>1</v>
      </c>
      <c r="N10" s="1172"/>
      <c r="O10" s="1173"/>
    </row>
    <row r="11" spans="1:16" ht="12.75" customHeight="1" thickBot="1">
      <c r="A11" s="1174"/>
      <c r="B11" s="1175"/>
      <c r="C11" s="1176" t="s">
        <v>138</v>
      </c>
      <c r="D11" s="1177">
        <f>SUM('PLAN. QUANTITATIVA'!J290,'PLAN. QUANTITATIVA'!J169,'PLAN. QUANTITATIVA'!J47)</f>
        <v>450085.56667552923</v>
      </c>
      <c r="E11" s="1177">
        <f>E10*$D$11</f>
        <v>45008.556667552926</v>
      </c>
      <c r="F11" s="1177">
        <f>F10*$D$11</f>
        <v>90017.11333510585</v>
      </c>
      <c r="G11" s="1177">
        <f>G10*D11</f>
        <v>225042.78333776462</v>
      </c>
      <c r="H11" s="1177">
        <f>H10*D11</f>
        <v>90017.11333510585</v>
      </c>
      <c r="I11" s="1177"/>
      <c r="J11" s="1177"/>
      <c r="K11" s="1177"/>
      <c r="L11" s="1178"/>
      <c r="M11" s="1161">
        <f>SUM('PLAN. QUANTITATIVA'!J47,'PLAN. QUANTITATIVA'!J169,'PLAN. QUANTITATIVA'!J290)</f>
        <v>450085.56667552923</v>
      </c>
      <c r="N11" s="1162"/>
      <c r="O11" s="1163"/>
      <c r="P11" s="1169">
        <f>E11+F11+G11+H11</f>
        <v>450085.56667552923</v>
      </c>
    </row>
    <row r="12" spans="1:15" ht="12.75" customHeight="1">
      <c r="A12" s="1148">
        <v>3</v>
      </c>
      <c r="B12" s="1179" t="s">
        <v>147</v>
      </c>
      <c r="C12" s="1150" t="s">
        <v>137</v>
      </c>
      <c r="D12" s="1151">
        <f>D13/F5</f>
        <v>0.2636259786702753</v>
      </c>
      <c r="E12" s="1151">
        <v>0.1</v>
      </c>
      <c r="F12" s="1151">
        <v>0.2</v>
      </c>
      <c r="G12" s="1151">
        <v>0.5</v>
      </c>
      <c r="H12" s="1151">
        <v>0.2</v>
      </c>
      <c r="I12" s="1151"/>
      <c r="J12" s="1151"/>
      <c r="K12" s="1151"/>
      <c r="L12" s="1152"/>
      <c r="M12" s="1171">
        <f>E12+F12+G12+H12</f>
        <v>1</v>
      </c>
      <c r="N12" s="1172"/>
      <c r="O12" s="1173"/>
    </row>
    <row r="13" spans="1:16" ht="12.75" customHeight="1" thickBot="1">
      <c r="A13" s="1156"/>
      <c r="B13" s="1180"/>
      <c r="C13" s="1158" t="s">
        <v>138</v>
      </c>
      <c r="D13" s="1159">
        <f>SUM('PLAN. QUANTITATIVA'!J294,'PLAN. QUANTITATIVA'!J173,'PLAN. QUANTITATIVA'!J51)</f>
        <v>525626.1940492799</v>
      </c>
      <c r="E13" s="1159">
        <f>D13*E12</f>
        <v>52562.619404927995</v>
      </c>
      <c r="F13" s="1159">
        <f>F12*$D$13</f>
        <v>105125.23880985599</v>
      </c>
      <c r="G13" s="1159">
        <f>G12*D13</f>
        <v>262813.09702463995</v>
      </c>
      <c r="H13" s="1159">
        <f>H12*D13</f>
        <v>105125.23880985599</v>
      </c>
      <c r="I13" s="1159"/>
      <c r="J13" s="1159"/>
      <c r="K13" s="1159"/>
      <c r="L13" s="1160"/>
      <c r="M13" s="1161">
        <f>SUM('PLAN. QUANTITATIVA'!J294,'PLAN. QUANTITATIVA'!J173,'PLAN. QUANTITATIVA'!J51)</f>
        <v>525626.1940492799</v>
      </c>
      <c r="N13" s="1162"/>
      <c r="O13" s="1163"/>
      <c r="P13" s="1169">
        <f>E13+F13+G13+H13</f>
        <v>525626.1940492799</v>
      </c>
    </row>
    <row r="14" spans="1:15" ht="12.75" customHeight="1">
      <c r="A14" s="1165">
        <v>4</v>
      </c>
      <c r="B14" s="1181" t="str">
        <f>'PLAN. QUANTITATIVA'!E64</f>
        <v>ALVENARIA</v>
      </c>
      <c r="C14" s="1167" t="s">
        <v>137</v>
      </c>
      <c r="D14" s="1168">
        <f>D15/F5</f>
        <v>0.05270776310272059</v>
      </c>
      <c r="E14" s="1168"/>
      <c r="F14" s="1168">
        <v>0.4</v>
      </c>
      <c r="G14" s="1168">
        <v>0.2</v>
      </c>
      <c r="H14" s="1168">
        <v>0.4</v>
      </c>
      <c r="I14" s="1168"/>
      <c r="J14" s="1168"/>
      <c r="K14" s="1168"/>
      <c r="L14" s="1170"/>
      <c r="M14" s="1171">
        <f>F14+G14+H14</f>
        <v>1</v>
      </c>
      <c r="N14" s="1172"/>
      <c r="O14" s="1173"/>
    </row>
    <row r="15" spans="1:16" ht="12.75" customHeight="1" thickBot="1">
      <c r="A15" s="1174"/>
      <c r="B15" s="1182"/>
      <c r="C15" s="1176" t="s">
        <v>138</v>
      </c>
      <c r="D15" s="1177">
        <f>'PLAN. QUANTITATIVA'!J69+'PLAN. QUANTITATIVA'!J187+'PLAN. QUANTITATIVA'!J308</f>
        <v>105090.4810530263</v>
      </c>
      <c r="E15" s="1177"/>
      <c r="F15" s="1177">
        <f>F14*D15</f>
        <v>42036.19242121052</v>
      </c>
      <c r="G15" s="1177">
        <f>G14*D15</f>
        <v>21018.09621060526</v>
      </c>
      <c r="H15" s="1177">
        <f>H14*D15</f>
        <v>42036.19242121052</v>
      </c>
      <c r="I15" s="1177"/>
      <c r="J15" s="1177"/>
      <c r="K15" s="1177"/>
      <c r="L15" s="1178"/>
      <c r="M15" s="1161">
        <f>SUM('PLAN. QUANTITATIVA'!J69,'PLAN. QUANTITATIVA'!J187,'PLAN. QUANTITATIVA'!J308)</f>
        <v>105090.4810530263</v>
      </c>
      <c r="N15" s="1162"/>
      <c r="O15" s="1163"/>
      <c r="P15" s="1169">
        <f>F15+G15+H15</f>
        <v>105090.4810530263</v>
      </c>
    </row>
    <row r="16" spans="1:15" ht="12.75" customHeight="1">
      <c r="A16" s="1148">
        <v>5</v>
      </c>
      <c r="B16" s="1179" t="s">
        <v>215</v>
      </c>
      <c r="C16" s="1150" t="s">
        <v>137</v>
      </c>
      <c r="D16" s="1151">
        <f>D17/F5</f>
        <v>0.05744293211415353</v>
      </c>
      <c r="E16" s="1151"/>
      <c r="F16" s="1151"/>
      <c r="G16" s="1151"/>
      <c r="H16" s="1151"/>
      <c r="I16" s="1151">
        <v>0.3</v>
      </c>
      <c r="J16" s="1151">
        <v>0.4</v>
      </c>
      <c r="K16" s="1151">
        <v>0.3</v>
      </c>
      <c r="L16" s="1152"/>
      <c r="M16" s="1171">
        <f>I16+J16+K16</f>
        <v>1</v>
      </c>
      <c r="N16" s="1172"/>
      <c r="O16" s="1173"/>
    </row>
    <row r="17" spans="1:16" ht="12.75" customHeight="1" thickBot="1">
      <c r="A17" s="1156"/>
      <c r="B17" s="1180"/>
      <c r="C17" s="1158" t="s">
        <v>138</v>
      </c>
      <c r="D17" s="1159">
        <f>'PLAN. QUANTITATIVA'!J57+'PLAN. QUANTITATIVA'!J179+'PLAN. QUANTITATIVA'!J300</f>
        <v>114531.61761405</v>
      </c>
      <c r="E17" s="1159"/>
      <c r="F17" s="1159"/>
      <c r="G17" s="1159"/>
      <c r="H17" s="1159"/>
      <c r="I17" s="1159">
        <f>I16*D17</f>
        <v>34359.485284215</v>
      </c>
      <c r="J17" s="1159">
        <f>J16*D17</f>
        <v>45812.647045620004</v>
      </c>
      <c r="K17" s="1159">
        <f>K16*D17</f>
        <v>34359.485284215</v>
      </c>
      <c r="L17" s="1160"/>
      <c r="M17" s="1183">
        <f>SUM('PLAN. QUANTITATIVA'!J57,'PLAN. QUANTITATIVA'!J179,'PLAN. QUANTITATIVA'!J300)</f>
        <v>114531.61761405</v>
      </c>
      <c r="N17" s="1184"/>
      <c r="O17" s="1185"/>
      <c r="P17" s="1169">
        <f>I17+J17+K17</f>
        <v>114531.61761405</v>
      </c>
    </row>
    <row r="18" spans="1:15" ht="12.75" customHeight="1">
      <c r="A18" s="1165">
        <v>6</v>
      </c>
      <c r="B18" s="1181" t="s">
        <v>56</v>
      </c>
      <c r="C18" s="1167" t="s">
        <v>137</v>
      </c>
      <c r="D18" s="1168">
        <f>D19/F5</f>
        <v>0.00027423942046216624</v>
      </c>
      <c r="E18" s="1168"/>
      <c r="F18" s="1168"/>
      <c r="G18" s="1168"/>
      <c r="H18" s="1168"/>
      <c r="I18" s="1168"/>
      <c r="J18" s="1168"/>
      <c r="K18" s="1168">
        <v>0.5</v>
      </c>
      <c r="L18" s="1170">
        <v>0.5</v>
      </c>
      <c r="M18" s="1171">
        <f>K18+L18</f>
        <v>1</v>
      </c>
      <c r="N18" s="1172"/>
      <c r="O18" s="1173"/>
    </row>
    <row r="19" spans="1:16" ht="12.75" customHeight="1" thickBot="1">
      <c r="A19" s="1174"/>
      <c r="B19" s="1182"/>
      <c r="C19" s="1176" t="s">
        <v>138</v>
      </c>
      <c r="D19" s="1177">
        <f>'PLAN. QUANTITATIVA'!J62</f>
        <v>546.7876252670001</v>
      </c>
      <c r="E19" s="1177"/>
      <c r="F19" s="1177"/>
      <c r="G19" s="1177"/>
      <c r="H19" s="1177"/>
      <c r="I19" s="1177"/>
      <c r="J19" s="1177"/>
      <c r="K19" s="1177">
        <f>K18*D19</f>
        <v>273.39381263350003</v>
      </c>
      <c r="L19" s="1178">
        <f>L18*D19</f>
        <v>273.39381263350003</v>
      </c>
      <c r="M19" s="1161">
        <f>SUM('PLAN. QUANTITATIVA'!J62)</f>
        <v>546.7876252670001</v>
      </c>
      <c r="N19" s="1162"/>
      <c r="O19" s="1163"/>
      <c r="P19" s="1169">
        <f>K19+L19</f>
        <v>546.7876252670001</v>
      </c>
    </row>
    <row r="20" spans="1:15" s="540" customFormat="1" ht="12.75" customHeight="1">
      <c r="A20" s="1148">
        <v>7</v>
      </c>
      <c r="B20" s="1149" t="str">
        <f>'PLAN. QUANTITATIVA'!E71</f>
        <v>REVESTIMENTO </v>
      </c>
      <c r="C20" s="1150" t="s">
        <v>137</v>
      </c>
      <c r="D20" s="1151">
        <f>D21/F5</f>
        <v>0.18421933930672263</v>
      </c>
      <c r="E20" s="1151"/>
      <c r="F20" s="1151"/>
      <c r="G20" s="1151"/>
      <c r="H20" s="1151">
        <v>0.1</v>
      </c>
      <c r="I20" s="1151">
        <v>0.2</v>
      </c>
      <c r="J20" s="1151">
        <v>0.4</v>
      </c>
      <c r="K20" s="1151">
        <v>0.3</v>
      </c>
      <c r="L20" s="1152"/>
      <c r="M20" s="1171">
        <f>H20+I20+J20+K20</f>
        <v>1</v>
      </c>
      <c r="N20" s="1172"/>
      <c r="O20" s="1173"/>
    </row>
    <row r="21" spans="1:16" ht="12.75" customHeight="1" thickBot="1">
      <c r="A21" s="1156"/>
      <c r="B21" s="1157"/>
      <c r="C21" s="1158" t="s">
        <v>138</v>
      </c>
      <c r="D21" s="1159">
        <f>'PLAN. QUANTITATIVA'!J79+'PLAN. QUANTITATIVA'!J197+'PLAN. QUANTITATIVA'!J318</f>
        <v>367302.6106094584</v>
      </c>
      <c r="E21" s="1159"/>
      <c r="F21" s="1159"/>
      <c r="G21" s="1159"/>
      <c r="H21" s="1159">
        <f>H20*D21</f>
        <v>36730.26106094584</v>
      </c>
      <c r="I21" s="1159">
        <f>I20*D21</f>
        <v>73460.52212189168</v>
      </c>
      <c r="J21" s="1159">
        <f>D21*J20</f>
        <v>146921.04424378337</v>
      </c>
      <c r="K21" s="1159">
        <f>K20*D21</f>
        <v>110190.78318283752</v>
      </c>
      <c r="L21" s="1160"/>
      <c r="M21" s="1161">
        <f>SUM('PLAN. QUANTITATIVA'!J318,'PLAN. QUANTITATIVA'!J197,'PLAN. QUANTITATIVA'!J79)</f>
        <v>367302.6106094584</v>
      </c>
      <c r="N21" s="1162"/>
      <c r="O21" s="1163"/>
      <c r="P21" s="1169">
        <f>H21+I21+J21+K21</f>
        <v>367302.6106094584</v>
      </c>
    </row>
    <row r="22" spans="1:15" ht="12.75" customHeight="1">
      <c r="A22" s="1165">
        <v>8</v>
      </c>
      <c r="B22" s="1166" t="str">
        <f>'PLAN. QUANTITATIVA'!E81</f>
        <v>PINTURA</v>
      </c>
      <c r="C22" s="1167" t="s">
        <v>137</v>
      </c>
      <c r="D22" s="1168">
        <f>D23/F5</f>
        <v>0.020096422162195298</v>
      </c>
      <c r="E22" s="1168"/>
      <c r="F22" s="1168"/>
      <c r="G22" s="1168"/>
      <c r="H22" s="1168"/>
      <c r="I22" s="1168">
        <v>0.6</v>
      </c>
      <c r="J22" s="1168">
        <v>0.4</v>
      </c>
      <c r="K22" s="1168"/>
      <c r="L22" s="1170"/>
      <c r="M22" s="1171">
        <f>I22+J22</f>
        <v>1</v>
      </c>
      <c r="N22" s="1172"/>
      <c r="O22" s="1173"/>
    </row>
    <row r="23" spans="1:16" ht="12.75" customHeight="1" thickBot="1">
      <c r="A23" s="1174"/>
      <c r="B23" s="1175"/>
      <c r="C23" s="1176" t="s">
        <v>138</v>
      </c>
      <c r="D23" s="1177">
        <f>'PLAN. QUANTITATIVA'!J84+'PLAN. QUANTITATIVA'!J202+'PLAN. QUANTITATIVA'!J323</f>
        <v>40068.9110701568</v>
      </c>
      <c r="E23" s="1177"/>
      <c r="F23" s="1177"/>
      <c r="G23" s="1177"/>
      <c r="H23" s="1177"/>
      <c r="I23" s="1177">
        <f>I22*D23</f>
        <v>24041.34664209408</v>
      </c>
      <c r="J23" s="1177">
        <f>D23*J22</f>
        <v>16027.56442806272</v>
      </c>
      <c r="K23" s="1177"/>
      <c r="L23" s="1178"/>
      <c r="M23" s="1183">
        <f>SUM('PLAN. QUANTITATIVA'!J84,'PLAN. QUANTITATIVA'!J202,'PLAN. QUANTITATIVA'!J323)</f>
        <v>40068.9110701568</v>
      </c>
      <c r="N23" s="1184"/>
      <c r="O23" s="1185"/>
      <c r="P23" s="1169">
        <f>I23+J23</f>
        <v>40068.9110701568</v>
      </c>
    </row>
    <row r="24" spans="1:15" ht="12.75" customHeight="1">
      <c r="A24" s="1148">
        <v>9</v>
      </c>
      <c r="B24" s="1149" t="s">
        <v>254</v>
      </c>
      <c r="C24" s="1150" t="s">
        <v>137</v>
      </c>
      <c r="D24" s="1151">
        <f>D25/F5</f>
        <v>0.0843768375839745</v>
      </c>
      <c r="E24" s="1151"/>
      <c r="F24" s="1151"/>
      <c r="G24" s="1151"/>
      <c r="H24" s="1151"/>
      <c r="I24" s="1151"/>
      <c r="J24" s="1151">
        <v>0.1</v>
      </c>
      <c r="K24" s="1151">
        <v>0.6</v>
      </c>
      <c r="L24" s="1152">
        <v>0.3</v>
      </c>
      <c r="M24" s="1171">
        <f>J24+K24+L24</f>
        <v>1</v>
      </c>
      <c r="N24" s="1172"/>
      <c r="O24" s="1173"/>
    </row>
    <row r="25" spans="1:16" ht="12.75" customHeight="1" thickBot="1">
      <c r="A25" s="1156"/>
      <c r="B25" s="1157"/>
      <c r="C25" s="1158" t="s">
        <v>138</v>
      </c>
      <c r="D25" s="1159">
        <f>'PLAN. QUANTITATIVA'!J98+'PLAN. QUANTITATIVA'!J224</f>
        <v>168233.3290098448</v>
      </c>
      <c r="E25" s="1159"/>
      <c r="F25" s="1159"/>
      <c r="G25" s="1159"/>
      <c r="H25" s="1159"/>
      <c r="I25" s="1159"/>
      <c r="J25" s="1159">
        <f>J24*D25</f>
        <v>16823.332900984482</v>
      </c>
      <c r="K25" s="1159">
        <f>K24*D25</f>
        <v>100939.99740590688</v>
      </c>
      <c r="L25" s="1160">
        <f>L24*D25</f>
        <v>50469.99870295344</v>
      </c>
      <c r="M25" s="1161">
        <f>SUM('PLAN. QUANTITATIVA'!J224,'PLAN. QUANTITATIVA'!J98)</f>
        <v>168233.3290098448</v>
      </c>
      <c r="N25" s="1162"/>
      <c r="O25" s="1163"/>
      <c r="P25" s="1169">
        <f>J25+K25+L25</f>
        <v>168233.3290098448</v>
      </c>
    </row>
    <row r="26" spans="1:15" s="540" customFormat="1" ht="12.75" customHeight="1">
      <c r="A26" s="1165">
        <v>10</v>
      </c>
      <c r="B26" s="1166" t="s">
        <v>439</v>
      </c>
      <c r="C26" s="1167" t="s">
        <v>137</v>
      </c>
      <c r="D26" s="1168">
        <f>D27/F5</f>
        <v>0.04319037894225892</v>
      </c>
      <c r="E26" s="1168"/>
      <c r="F26" s="1168">
        <v>0.3</v>
      </c>
      <c r="G26" s="1168">
        <v>0.2</v>
      </c>
      <c r="H26" s="1168">
        <v>0.3</v>
      </c>
      <c r="I26" s="1168">
        <v>0.1</v>
      </c>
      <c r="J26" s="1168">
        <v>0.1</v>
      </c>
      <c r="K26" s="1168"/>
      <c r="L26" s="1170"/>
      <c r="M26" s="1171">
        <f>F26+G26+H26+I26+J26</f>
        <v>1</v>
      </c>
      <c r="N26" s="1172"/>
      <c r="O26" s="1173"/>
    </row>
    <row r="27" spans="1:16" ht="12.75" customHeight="1" thickBot="1">
      <c r="A27" s="1174"/>
      <c r="B27" s="1175"/>
      <c r="C27" s="1176" t="s">
        <v>138</v>
      </c>
      <c r="D27" s="1177">
        <f>'PLAN. QUANTITATIVA'!J237+'PLAN. QUANTITATIVA'!J109+'PLAN. QUANTITATIVA'!J335</f>
        <v>86114.4057860844</v>
      </c>
      <c r="E27" s="1177"/>
      <c r="F27" s="1177">
        <f>F26*D27</f>
        <v>25834.32173582532</v>
      </c>
      <c r="G27" s="1177">
        <f>G26*D27</f>
        <v>17222.88115721688</v>
      </c>
      <c r="H27" s="1177">
        <f>H26*D27</f>
        <v>25834.32173582532</v>
      </c>
      <c r="I27" s="1177">
        <f>I26*D27</f>
        <v>8611.44057860844</v>
      </c>
      <c r="J27" s="1177">
        <f>J26*D27</f>
        <v>8611.44057860844</v>
      </c>
      <c r="K27" s="1177"/>
      <c r="L27" s="1178"/>
      <c r="M27" s="1161">
        <f>SUM('PLAN. QUANTITATIVA'!J109,'PLAN. QUANTITATIVA'!J237,'PLAN. QUANTITATIVA'!J335)</f>
        <v>86114.4057860844</v>
      </c>
      <c r="N27" s="1162"/>
      <c r="O27" s="1163"/>
      <c r="P27" s="1169">
        <f>F27+G27+H27+I27+J27</f>
        <v>86114.4057860844</v>
      </c>
    </row>
    <row r="28" spans="1:15" ht="12.75" customHeight="1">
      <c r="A28" s="1148">
        <v>11</v>
      </c>
      <c r="B28" s="1149" t="str">
        <f>'PLAN. QUANTITATIVA'!E111</f>
        <v>HIDROSSANITÁRIO</v>
      </c>
      <c r="C28" s="1150" t="s">
        <v>137</v>
      </c>
      <c r="D28" s="1151">
        <f>D29/F5</f>
        <v>0.0123071205447354</v>
      </c>
      <c r="E28" s="1151"/>
      <c r="F28" s="1151">
        <v>0.5</v>
      </c>
      <c r="G28" s="1151">
        <v>0.3</v>
      </c>
      <c r="H28" s="1151">
        <v>0.2</v>
      </c>
      <c r="I28" s="1151"/>
      <c r="J28" s="1151"/>
      <c r="K28" s="1151"/>
      <c r="L28" s="1152"/>
      <c r="M28" s="1171">
        <f>F28+G28+H28</f>
        <v>1</v>
      </c>
      <c r="N28" s="1172"/>
      <c r="O28" s="1173"/>
    </row>
    <row r="29" spans="1:16" ht="12.75" customHeight="1" thickBot="1">
      <c r="A29" s="1156"/>
      <c r="B29" s="1157"/>
      <c r="C29" s="1158" t="s">
        <v>138</v>
      </c>
      <c r="D29" s="1159">
        <f>SUM('PLAN. QUANTITATIVA'!J353,'PLAN. QUANTITATIVA'!J255,'PLAN. QUANTITATIVA'!J127)</f>
        <v>24538.343922948</v>
      </c>
      <c r="E29" s="1159"/>
      <c r="F29" s="1159">
        <f>F28*D29</f>
        <v>12269.171961474</v>
      </c>
      <c r="G29" s="1159">
        <f>G28*D29</f>
        <v>7361.503176884399</v>
      </c>
      <c r="H29" s="1159">
        <f>H28*D29</f>
        <v>4907.6687845896</v>
      </c>
      <c r="I29" s="1159"/>
      <c r="J29" s="1159"/>
      <c r="K29" s="1159"/>
      <c r="L29" s="1160"/>
      <c r="M29" s="1161">
        <f>SUM('PLAN. QUANTITATIVA'!J353,'PLAN. QUANTITATIVA'!J255,'PLAN. QUANTITATIVA'!J127)</f>
        <v>24538.343922948</v>
      </c>
      <c r="N29" s="1162"/>
      <c r="O29" s="1163"/>
      <c r="P29" s="1169">
        <f>F29+G29+H29</f>
        <v>24538.343922948</v>
      </c>
    </row>
    <row r="30" spans="1:15" ht="12.75" customHeight="1">
      <c r="A30" s="1165">
        <v>12</v>
      </c>
      <c r="B30" s="1186" t="s">
        <v>489</v>
      </c>
      <c r="C30" s="1167" t="s">
        <v>137</v>
      </c>
      <c r="D30" s="1168">
        <f>D31/F5</f>
        <v>0.027012318431686295</v>
      </c>
      <c r="E30" s="1168"/>
      <c r="F30" s="1168"/>
      <c r="G30" s="1168">
        <v>0.1</v>
      </c>
      <c r="H30" s="1168">
        <v>0.4</v>
      </c>
      <c r="I30" s="1168">
        <v>0.3</v>
      </c>
      <c r="J30" s="1168">
        <v>0.2</v>
      </c>
      <c r="K30" s="1168"/>
      <c r="L30" s="1170"/>
      <c r="M30" s="1171">
        <f>G30+H30+I30+J30</f>
        <v>1</v>
      </c>
      <c r="N30" s="1172"/>
      <c r="O30" s="1173"/>
    </row>
    <row r="31" spans="1:16" ht="12.75" customHeight="1" thickBot="1">
      <c r="A31" s="1174"/>
      <c r="B31" s="1187"/>
      <c r="C31" s="1176" t="s">
        <v>138</v>
      </c>
      <c r="D31" s="1177">
        <f>'PLAN. QUANTITATIVA'!J367+'PLAN. QUANTITATIVA'!J267+'PLAN. QUANTITATIVA'!J138</f>
        <v>53858.053752178996</v>
      </c>
      <c r="E31" s="1177"/>
      <c r="F31" s="1177"/>
      <c r="G31" s="1177">
        <f>G30*D31</f>
        <v>5385.8053752179</v>
      </c>
      <c r="H31" s="1177">
        <f>H30*D31</f>
        <v>21543.2215008716</v>
      </c>
      <c r="I31" s="1177">
        <f>I30*D31</f>
        <v>16157.416125653697</v>
      </c>
      <c r="J31" s="1177">
        <f>J30*D31</f>
        <v>10771.6107504358</v>
      </c>
      <c r="K31" s="1177"/>
      <c r="L31" s="1178"/>
      <c r="M31" s="1161">
        <f>SUM('PLAN. QUANTITATIVA'!J367,'PLAN. QUANTITATIVA'!J267,'PLAN. QUANTITATIVA'!J138)</f>
        <v>53858.053752178996</v>
      </c>
      <c r="N31" s="1162"/>
      <c r="O31" s="1163"/>
      <c r="P31" s="1169">
        <f>G31+H31+I31+J31</f>
        <v>53858.053752179</v>
      </c>
    </row>
    <row r="32" spans="1:15" ht="12.75" customHeight="1">
      <c r="A32" s="1148">
        <v>13</v>
      </c>
      <c r="B32" s="1188" t="s">
        <v>490</v>
      </c>
      <c r="C32" s="1150" t="s">
        <v>137</v>
      </c>
      <c r="D32" s="1151">
        <f>D33/F5</f>
        <v>0.012729673458449667</v>
      </c>
      <c r="E32" s="1151"/>
      <c r="F32" s="1151">
        <v>0.2</v>
      </c>
      <c r="G32" s="1151">
        <v>0.2</v>
      </c>
      <c r="H32" s="1151">
        <v>0.1</v>
      </c>
      <c r="I32" s="1151">
        <v>0.2</v>
      </c>
      <c r="J32" s="1151">
        <v>0.3</v>
      </c>
      <c r="K32" s="1151"/>
      <c r="L32" s="1152"/>
      <c r="M32" s="1171">
        <f>F32+G32+H32+I32+J32</f>
        <v>1</v>
      </c>
      <c r="N32" s="1172"/>
      <c r="O32" s="1173"/>
    </row>
    <row r="33" spans="1:16" ht="12.75" customHeight="1" thickBot="1">
      <c r="A33" s="1156"/>
      <c r="B33" s="1189"/>
      <c r="C33" s="1158" t="s">
        <v>138</v>
      </c>
      <c r="D33" s="1159">
        <f>SUM('PLAN. QUANTITATIVA'!J143)</f>
        <v>25380.8438956</v>
      </c>
      <c r="E33" s="1159"/>
      <c r="F33" s="1159">
        <f>F32*D33</f>
        <v>5076.16877912</v>
      </c>
      <c r="G33" s="1159">
        <f>D33*G32</f>
        <v>5076.16877912</v>
      </c>
      <c r="H33" s="1159">
        <f>D33*H32</f>
        <v>2538.08438956</v>
      </c>
      <c r="I33" s="1159">
        <f>D33*I32</f>
        <v>5076.16877912</v>
      </c>
      <c r="J33" s="1159">
        <f>D33*J32</f>
        <v>7614.253168679999</v>
      </c>
      <c r="K33" s="1159"/>
      <c r="L33" s="1160"/>
      <c r="M33" s="1161">
        <f>SUM('PLAN. QUANTITATIVA'!J143)</f>
        <v>25380.8438956</v>
      </c>
      <c r="N33" s="1162"/>
      <c r="O33" s="1163"/>
      <c r="P33" s="1169">
        <f>F33+G33+H33+I33+J33</f>
        <v>25380.843895600003</v>
      </c>
    </row>
    <row r="34" spans="1:15" ht="12.75" customHeight="1">
      <c r="A34" s="1165">
        <v>14</v>
      </c>
      <c r="B34" s="1186" t="s">
        <v>440</v>
      </c>
      <c r="C34" s="1167" t="s">
        <v>137</v>
      </c>
      <c r="D34" s="1168">
        <f>D35/F5</f>
        <v>0.0038355874650191483</v>
      </c>
      <c r="E34" s="1168"/>
      <c r="F34" s="1168"/>
      <c r="G34" s="1168"/>
      <c r="H34" s="1168"/>
      <c r="I34" s="1168"/>
      <c r="J34" s="1168"/>
      <c r="K34" s="1168"/>
      <c r="L34" s="1170">
        <v>1</v>
      </c>
      <c r="M34" s="1171">
        <f>L34</f>
        <v>1</v>
      </c>
      <c r="N34" s="1172"/>
      <c r="O34" s="1173"/>
    </row>
    <row r="35" spans="1:16" ht="12.75" customHeight="1" thickBot="1">
      <c r="A35" s="1174"/>
      <c r="B35" s="1187"/>
      <c r="C35" s="1176" t="s">
        <v>138</v>
      </c>
      <c r="D35" s="1177">
        <f>SUM('PLAN. QUANTITATIVA'!J371,'PLAN. QUANTITATIVA'!J271,'PLAN. QUANTITATIVA'!J147)</f>
        <v>7647.521125764001</v>
      </c>
      <c r="E35" s="1177"/>
      <c r="F35" s="1177"/>
      <c r="G35" s="1177"/>
      <c r="H35" s="1177"/>
      <c r="I35" s="1177"/>
      <c r="J35" s="1177"/>
      <c r="K35" s="1177"/>
      <c r="L35" s="1178">
        <f>L34*D35</f>
        <v>7647.521125764001</v>
      </c>
      <c r="M35" s="1161">
        <f>SUM('PLAN. QUANTITATIVA'!J371,'PLAN. QUANTITATIVA'!J271,'PLAN. QUANTITATIVA'!J147)</f>
        <v>7647.521125764001</v>
      </c>
      <c r="N35" s="1162"/>
      <c r="O35" s="1163"/>
      <c r="P35" s="1164">
        <f>L35</f>
        <v>7647.521125764001</v>
      </c>
    </row>
    <row r="36" spans="1:15" ht="12.75" customHeight="1">
      <c r="A36" s="1190" t="s">
        <v>139</v>
      </c>
      <c r="B36" s="1191"/>
      <c r="C36" s="1192" t="s">
        <v>137</v>
      </c>
      <c r="D36" s="1193">
        <f>SUM(D34,D32,D30,D28,D26,D24,D22,D20,D18,D16,D14,D12,D10,D8)</f>
        <v>0.9999999999999998</v>
      </c>
      <c r="E36" s="1193">
        <f>E37/$D$37</f>
        <v>0.06137904949679091</v>
      </c>
      <c r="F36" s="1193">
        <f aca="true" t="shared" si="0" ref="F36:L36">F37/$D$37</f>
        <v>0.14061267788134152</v>
      </c>
      <c r="G36" s="1193">
        <f t="shared" si="0"/>
        <v>0.27280134109107</v>
      </c>
      <c r="H36" s="1193">
        <f t="shared" si="0"/>
        <v>0.16487443567542273</v>
      </c>
      <c r="I36" s="1193">
        <f t="shared" si="0"/>
        <v>0.08110326890832947</v>
      </c>
      <c r="J36" s="1193">
        <f t="shared" si="0"/>
        <v>0.1266815648097241</v>
      </c>
      <c r="K36" s="1193">
        <f t="shared" si="0"/>
        <v>0.12326190368687863</v>
      </c>
      <c r="L36" s="1193">
        <f t="shared" si="0"/>
        <v>0.02928575845044258</v>
      </c>
      <c r="M36" s="1171">
        <f>SUM(E36:L36)</f>
        <v>1</v>
      </c>
      <c r="N36" s="1172"/>
      <c r="O36" s="1173"/>
    </row>
    <row r="37" spans="1:15" ht="12.75" customHeight="1">
      <c r="A37" s="1194"/>
      <c r="B37" s="1195"/>
      <c r="C37" s="1196" t="s">
        <v>138</v>
      </c>
      <c r="D37" s="1197">
        <f>SUM(D35+D31+D25+D21+D17+D15+D13+D11+D9+D27+D29+D33+D23+D19)</f>
        <v>1993833.0687306651</v>
      </c>
      <c r="E37" s="1197">
        <f aca="true" t="shared" si="1" ref="E37:L37">SUM(E35,E31,E25,E21,E17,E15,E13,E11,E9,E27,E29,E33,E23,E19)</f>
        <v>122379.57861395802</v>
      </c>
      <c r="F37" s="1197">
        <f t="shared" si="1"/>
        <v>280358.2070425917</v>
      </c>
      <c r="G37" s="1197">
        <f t="shared" si="1"/>
        <v>543920.335061449</v>
      </c>
      <c r="H37" s="1197">
        <f>SUM(H35,H31,H25,H21,H17,H15,H13,H11,H9,H27,H29,H33,H23,H19)</f>
        <v>328732.10203796474</v>
      </c>
      <c r="I37" s="1197">
        <f t="shared" si="1"/>
        <v>161706.3795315829</v>
      </c>
      <c r="J37" s="1197">
        <f t="shared" si="1"/>
        <v>252581.89311617485</v>
      </c>
      <c r="K37" s="1197">
        <f t="shared" si="1"/>
        <v>245763.6596855929</v>
      </c>
      <c r="L37" s="1197">
        <f t="shared" si="1"/>
        <v>58390.91364135094</v>
      </c>
      <c r="M37" s="1198"/>
      <c r="N37" s="1198"/>
      <c r="O37" s="1199"/>
    </row>
    <row r="38" spans="1:16" ht="13.5" customHeight="1">
      <c r="A38" s="1194"/>
      <c r="B38" s="1195"/>
      <c r="C38" s="1196" t="s">
        <v>140</v>
      </c>
      <c r="D38" s="1197"/>
      <c r="E38" s="1197">
        <f>E37</f>
        <v>122379.57861395802</v>
      </c>
      <c r="F38" s="1197">
        <f aca="true" t="shared" si="2" ref="F38:L38">F37+E38</f>
        <v>402737.78565654973</v>
      </c>
      <c r="G38" s="1197">
        <f t="shared" si="2"/>
        <v>946658.1207179987</v>
      </c>
      <c r="H38" s="1197">
        <f t="shared" si="2"/>
        <v>1275390.2227559634</v>
      </c>
      <c r="I38" s="1197">
        <f t="shared" si="2"/>
        <v>1437096.6022875463</v>
      </c>
      <c r="J38" s="1197">
        <f t="shared" si="2"/>
        <v>1689678.495403721</v>
      </c>
      <c r="K38" s="1197">
        <f t="shared" si="2"/>
        <v>1935442.1550893139</v>
      </c>
      <c r="L38" s="1197">
        <f t="shared" si="2"/>
        <v>1993833.068730665</v>
      </c>
      <c r="M38" s="1200">
        <f>M9+M11+M13+M15+M17+M19+M21+M23+M25+M27+M29+M31+M33+M35</f>
        <v>1993833.0687306651</v>
      </c>
      <c r="N38" s="1154"/>
      <c r="O38" s="1155"/>
      <c r="P38" s="1164">
        <f>SUM(P9:P35)</f>
        <v>1993833.0687306651</v>
      </c>
    </row>
    <row r="39" spans="1:15" ht="12.75" customHeight="1">
      <c r="A39" s="1201"/>
      <c r="B39" s="1202"/>
      <c r="C39" s="1202"/>
      <c r="D39" s="1202"/>
      <c r="E39" s="1202"/>
      <c r="F39" s="1203"/>
      <c r="G39" s="1204"/>
      <c r="H39" s="1204"/>
      <c r="I39" s="1204"/>
      <c r="J39" s="1204"/>
      <c r="K39" s="1204"/>
      <c r="L39" s="1204"/>
      <c r="M39" s="1204"/>
      <c r="N39" s="1204"/>
      <c r="O39" s="1205"/>
    </row>
    <row r="40" spans="1:15" ht="12.75" customHeight="1">
      <c r="A40" s="1201"/>
      <c r="B40" s="1206"/>
      <c r="C40" s="1202"/>
      <c r="D40" s="1202"/>
      <c r="E40" s="1206"/>
      <c r="F40" s="1207"/>
      <c r="G40" s="1208" t="s">
        <v>141</v>
      </c>
      <c r="H40" s="1208"/>
      <c r="I40" s="1208"/>
      <c r="J40" s="1208"/>
      <c r="K40" s="1208"/>
      <c r="L40" s="1208"/>
      <c r="M40" s="1204"/>
      <c r="N40" s="1204"/>
      <c r="O40" s="1209"/>
    </row>
    <row r="41" spans="1:15" ht="12.75" customHeight="1">
      <c r="A41" s="1210"/>
      <c r="B41" s="1211"/>
      <c r="C41" s="1211"/>
      <c r="D41" s="1211"/>
      <c r="E41" s="1211"/>
      <c r="F41" s="1212"/>
      <c r="G41" s="1204"/>
      <c r="H41" s="1204"/>
      <c r="I41" s="1204"/>
      <c r="J41" s="1204"/>
      <c r="K41" s="1204"/>
      <c r="L41" s="1204"/>
      <c r="M41" s="1204"/>
      <c r="N41" s="1204"/>
      <c r="O41" s="1205"/>
    </row>
    <row r="42" spans="1:15" ht="12.75" customHeight="1">
      <c r="A42" s="1213"/>
      <c r="B42" s="1214" t="s">
        <v>332</v>
      </c>
      <c r="C42" s="1214"/>
      <c r="D42" s="1214"/>
      <c r="E42" s="1214"/>
      <c r="F42" s="1215"/>
      <c r="G42" s="1204"/>
      <c r="H42" s="1204"/>
      <c r="I42" s="1204"/>
      <c r="J42" s="1204"/>
      <c r="K42" s="1204"/>
      <c r="L42" s="1204"/>
      <c r="M42" s="1204"/>
      <c r="N42" s="1204"/>
      <c r="O42" s="1205"/>
    </row>
    <row r="43" spans="1:15" ht="12.75" customHeight="1">
      <c r="A43" s="1216"/>
      <c r="B43" s="1217" t="s">
        <v>333</v>
      </c>
      <c r="C43" s="1217"/>
      <c r="D43" s="1217"/>
      <c r="E43" s="1217"/>
      <c r="F43" s="1218"/>
      <c r="G43" s="1219"/>
      <c r="H43" s="1219"/>
      <c r="I43" s="1219"/>
      <c r="J43" s="1219"/>
      <c r="K43" s="1219"/>
      <c r="L43" s="1219"/>
      <c r="M43" s="1219"/>
      <c r="N43" s="1219"/>
      <c r="O43" s="1220"/>
    </row>
    <row r="44" spans="1:15" ht="12.75" customHeight="1">
      <c r="A44" s="1221"/>
      <c r="B44" s="1222"/>
      <c r="C44" s="1222"/>
      <c r="D44" s="1222"/>
      <c r="E44" s="1222"/>
      <c r="F44" s="1222"/>
      <c r="G44" s="1222"/>
      <c r="H44" s="1222"/>
      <c r="I44" s="1222"/>
      <c r="J44" s="1222"/>
      <c r="K44" s="1222"/>
      <c r="L44" s="1222"/>
      <c r="M44" s="1222"/>
      <c r="N44" s="1222"/>
      <c r="O44" s="1223"/>
    </row>
    <row r="45" spans="1:15" ht="12.75" customHeight="1">
      <c r="A45" s="1224"/>
      <c r="B45" s="1224"/>
      <c r="C45" s="1225"/>
      <c r="D45" s="1225"/>
      <c r="E45" s="1224"/>
      <c r="F45" s="1224"/>
      <c r="G45" s="1224"/>
      <c r="H45" s="1224"/>
      <c r="I45" s="1224"/>
      <c r="J45" s="1224"/>
      <c r="K45" s="1224"/>
      <c r="L45" s="1224"/>
      <c r="M45" s="1224"/>
      <c r="N45" s="1224"/>
      <c r="O45" s="1224"/>
    </row>
    <row r="46" spans="1:15" ht="12.75" customHeight="1">
      <c r="A46" s="1204"/>
      <c r="B46" s="1204"/>
      <c r="C46" s="1116"/>
      <c r="D46" s="1116"/>
      <c r="E46" s="1204"/>
      <c r="F46" s="1204"/>
      <c r="G46" s="1204"/>
      <c r="H46" s="1204"/>
      <c r="I46" s="1204"/>
      <c r="J46" s="1204"/>
      <c r="K46" s="1204"/>
      <c r="L46" s="1204"/>
      <c r="M46" s="1204"/>
      <c r="N46" s="1204"/>
      <c r="O46" s="1204"/>
    </row>
    <row r="47" spans="1:15" ht="12.75" customHeight="1">
      <c r="A47" s="1204"/>
      <c r="B47" s="1204"/>
      <c r="C47" s="1116"/>
      <c r="D47" s="1116"/>
      <c r="E47" s="1204"/>
      <c r="F47" s="1204"/>
      <c r="G47" s="1204"/>
      <c r="H47" s="1204"/>
      <c r="I47" s="1204"/>
      <c r="J47" s="1204"/>
      <c r="K47" s="1204"/>
      <c r="L47" s="1204"/>
      <c r="M47" s="1204"/>
      <c r="N47" s="1204"/>
      <c r="O47" s="1204"/>
    </row>
    <row r="48" spans="1:15" ht="12.75" customHeight="1">
      <c r="A48" s="1226"/>
      <c r="B48" s="1226"/>
      <c r="C48" s="1226"/>
      <c r="D48" s="1226"/>
      <c r="E48" s="1226"/>
      <c r="F48" s="1226"/>
      <c r="G48" s="1226"/>
      <c r="H48" s="1226"/>
      <c r="I48" s="1226"/>
      <c r="J48" s="1226"/>
      <c r="K48" s="1226"/>
      <c r="L48" s="1226"/>
      <c r="M48" s="1226"/>
      <c r="O48" s="1164"/>
    </row>
    <row r="49" spans="1:13" ht="12.75" customHeight="1">
      <c r="A49" s="1226"/>
      <c r="B49" s="1226"/>
      <c r="C49" s="1226"/>
      <c r="D49" s="1226"/>
      <c r="E49" s="1226"/>
      <c r="F49" s="1226"/>
      <c r="G49" s="1226"/>
      <c r="H49" s="1226"/>
      <c r="I49" s="1226"/>
      <c r="J49" s="1226"/>
      <c r="K49" s="1226"/>
      <c r="L49" s="1226"/>
      <c r="M49" s="1226"/>
    </row>
    <row r="50" spans="1:13" ht="12.75" customHeight="1">
      <c r="A50" s="1226"/>
      <c r="B50" s="1226"/>
      <c r="C50" s="1226"/>
      <c r="D50" s="1226"/>
      <c r="E50" s="1226"/>
      <c r="F50" s="1226"/>
      <c r="G50" s="1226"/>
      <c r="H50" s="1226"/>
      <c r="I50" s="1226"/>
      <c r="J50" s="1226"/>
      <c r="K50" s="1226"/>
      <c r="L50" s="1226"/>
      <c r="M50" s="1226"/>
    </row>
    <row r="51" spans="1:13" ht="12.75" customHeight="1">
      <c r="A51" s="1226"/>
      <c r="B51" s="1226"/>
      <c r="C51" s="1226"/>
      <c r="D51" s="1226"/>
      <c r="E51" s="1226"/>
      <c r="F51" s="1226"/>
      <c r="G51" s="1226"/>
      <c r="H51" s="1226"/>
      <c r="I51" s="1226"/>
      <c r="J51" s="1226"/>
      <c r="K51" s="1226"/>
      <c r="L51" s="1226"/>
      <c r="M51" s="1226"/>
    </row>
    <row r="52" spans="1:13" ht="12.75" customHeight="1">
      <c r="A52" s="1226"/>
      <c r="B52" s="1226"/>
      <c r="C52" s="1226"/>
      <c r="D52" s="1226"/>
      <c r="E52" s="1226"/>
      <c r="F52" s="1226"/>
      <c r="G52" s="1226"/>
      <c r="H52" s="1226"/>
      <c r="I52" s="1226"/>
      <c r="J52" s="1226"/>
      <c r="K52" s="1226"/>
      <c r="L52" s="1226"/>
      <c r="M52" s="1226"/>
    </row>
    <row r="53" spans="1:13" ht="12.75" customHeight="1">
      <c r="A53" s="1226"/>
      <c r="B53" s="1226"/>
      <c r="C53" s="1226"/>
      <c r="D53" s="1226"/>
      <c r="E53" s="1226"/>
      <c r="F53" s="1226"/>
      <c r="G53" s="1226"/>
      <c r="H53" s="1226"/>
      <c r="I53" s="1226"/>
      <c r="J53" s="1226"/>
      <c r="K53" s="1226"/>
      <c r="L53" s="1226"/>
      <c r="M53" s="1226"/>
    </row>
    <row r="54" spans="1:13" ht="12.75" customHeight="1">
      <c r="A54" s="1226"/>
      <c r="B54" s="1226"/>
      <c r="C54" s="1226"/>
      <c r="D54" s="1226"/>
      <c r="E54" s="1226"/>
      <c r="F54" s="1226"/>
      <c r="G54" s="1226"/>
      <c r="H54" s="1226"/>
      <c r="I54" s="1226"/>
      <c r="J54" s="1226"/>
      <c r="K54" s="1226"/>
      <c r="L54" s="1226"/>
      <c r="M54" s="1226"/>
    </row>
    <row r="55" spans="1:15" ht="12.75" customHeight="1">
      <c r="A55" s="1226"/>
      <c r="B55" s="1226"/>
      <c r="C55" s="1226"/>
      <c r="D55" s="1226"/>
      <c r="E55" s="1226"/>
      <c r="F55" s="1226"/>
      <c r="G55" s="1226"/>
      <c r="H55" s="1226"/>
      <c r="I55" s="1226"/>
      <c r="J55" s="1226"/>
      <c r="K55" s="1226"/>
      <c r="L55" s="1226"/>
      <c r="M55" s="1226"/>
      <c r="O55" s="1164"/>
    </row>
    <row r="56" spans="1:13" ht="12.75" customHeight="1">
      <c r="A56" s="1226"/>
      <c r="B56" s="1226"/>
      <c r="C56" s="1226"/>
      <c r="D56" s="1226"/>
      <c r="E56" s="1226"/>
      <c r="F56" s="1226"/>
      <c r="G56" s="1226"/>
      <c r="H56" s="1226"/>
      <c r="I56" s="1226"/>
      <c r="J56" s="1226"/>
      <c r="K56" s="1226"/>
      <c r="L56" s="1226"/>
      <c r="M56" s="1226"/>
    </row>
    <row r="57" spans="1:13" ht="12.75" customHeight="1">
      <c r="A57" s="1226"/>
      <c r="B57" s="1226"/>
      <c r="C57" s="1226"/>
      <c r="D57" s="1226"/>
      <c r="E57" s="1226"/>
      <c r="F57" s="1226"/>
      <c r="G57" s="1226"/>
      <c r="H57" s="1226"/>
      <c r="I57" s="1226"/>
      <c r="J57" s="1226"/>
      <c r="K57" s="1226"/>
      <c r="L57" s="1226"/>
      <c r="M57" s="1226"/>
    </row>
    <row r="58" spans="1:13" ht="12.75" customHeight="1">
      <c r="A58" s="1226"/>
      <c r="B58" s="1226"/>
      <c r="C58" s="1226"/>
      <c r="D58" s="1226"/>
      <c r="E58" s="1226"/>
      <c r="F58" s="1226"/>
      <c r="G58" s="1226"/>
      <c r="H58" s="1226"/>
      <c r="I58" s="1226"/>
      <c r="J58" s="1226"/>
      <c r="K58" s="1226"/>
      <c r="L58" s="1226"/>
      <c r="M58" s="1226"/>
    </row>
    <row r="59" spans="1:15" ht="12.75" customHeight="1">
      <c r="A59" s="1226"/>
      <c r="B59" s="1226"/>
      <c r="C59" s="1226"/>
      <c r="D59" s="1226"/>
      <c r="E59" s="1226"/>
      <c r="F59" s="1226"/>
      <c r="G59" s="1226"/>
      <c r="H59" s="1226"/>
      <c r="I59" s="1226"/>
      <c r="J59" s="1226"/>
      <c r="K59" s="1226"/>
      <c r="L59" s="1226"/>
      <c r="M59" s="1226"/>
      <c r="O59" s="1164"/>
    </row>
    <row r="60" spans="1:13" ht="12.75" customHeight="1">
      <c r="A60" s="1226"/>
      <c r="B60" s="1226"/>
      <c r="C60" s="1226"/>
      <c r="D60" s="1226"/>
      <c r="E60" s="1226"/>
      <c r="F60" s="1226"/>
      <c r="G60" s="1226"/>
      <c r="H60" s="1226"/>
      <c r="I60" s="1226"/>
      <c r="J60" s="1226"/>
      <c r="K60" s="1226"/>
      <c r="L60" s="1226"/>
      <c r="M60" s="1226"/>
    </row>
    <row r="61" spans="1:13" ht="12.75" customHeight="1">
      <c r="A61" s="1226"/>
      <c r="B61" s="1226"/>
      <c r="C61" s="1226"/>
      <c r="D61" s="1226"/>
      <c r="E61" s="1226"/>
      <c r="F61" s="1226"/>
      <c r="G61" s="1226"/>
      <c r="H61" s="1226"/>
      <c r="I61" s="1226"/>
      <c r="J61" s="1226"/>
      <c r="K61" s="1226"/>
      <c r="L61" s="1226"/>
      <c r="M61" s="1226"/>
    </row>
    <row r="62" spans="1:13" ht="12.75" customHeight="1">
      <c r="A62" s="1226"/>
      <c r="B62" s="1226"/>
      <c r="C62" s="1226"/>
      <c r="D62" s="1226"/>
      <c r="E62" s="1226"/>
      <c r="F62" s="1226"/>
      <c r="G62" s="1226"/>
      <c r="H62" s="1226"/>
      <c r="I62" s="1226"/>
      <c r="J62" s="1226"/>
      <c r="K62" s="1226"/>
      <c r="L62" s="1226"/>
      <c r="M62" s="1226"/>
    </row>
    <row r="63" spans="1:13" ht="12.75" customHeight="1">
      <c r="A63" s="1226"/>
      <c r="B63" s="1226"/>
      <c r="C63" s="1226"/>
      <c r="D63" s="1226"/>
      <c r="E63" s="1226"/>
      <c r="F63" s="1226"/>
      <c r="G63" s="1226"/>
      <c r="H63" s="1226"/>
      <c r="I63" s="1226"/>
      <c r="J63" s="1226"/>
      <c r="K63" s="1226"/>
      <c r="L63" s="1226"/>
      <c r="M63" s="1226"/>
    </row>
    <row r="64" spans="1:13" ht="12.75" customHeight="1">
      <c r="A64" s="1226"/>
      <c r="B64" s="1226"/>
      <c r="C64" s="1226"/>
      <c r="D64" s="1226"/>
      <c r="E64" s="1226"/>
      <c r="F64" s="1226"/>
      <c r="G64" s="1226"/>
      <c r="H64" s="1226"/>
      <c r="I64" s="1226"/>
      <c r="J64" s="1226"/>
      <c r="K64" s="1226"/>
      <c r="L64" s="1226"/>
      <c r="M64" s="1226"/>
    </row>
    <row r="65" spans="1:15" ht="12.75" customHeight="1">
      <c r="A65" s="1226"/>
      <c r="B65" s="1226"/>
      <c r="C65" s="1226"/>
      <c r="D65" s="1226"/>
      <c r="E65" s="1226"/>
      <c r="F65" s="1226"/>
      <c r="G65" s="1226"/>
      <c r="H65" s="1226"/>
      <c r="I65" s="1226"/>
      <c r="J65" s="1226"/>
      <c r="K65" s="1226"/>
      <c r="L65" s="1226"/>
      <c r="M65" s="1226"/>
      <c r="O65" s="1164"/>
    </row>
    <row r="66" spans="1:13" ht="12.75" customHeight="1">
      <c r="A66" s="1226"/>
      <c r="B66" s="1226"/>
      <c r="C66" s="1226"/>
      <c r="D66" s="1226"/>
      <c r="E66" s="1226"/>
      <c r="F66" s="1226"/>
      <c r="G66" s="1226"/>
      <c r="H66" s="1226"/>
      <c r="I66" s="1226"/>
      <c r="J66" s="1226"/>
      <c r="K66" s="1226"/>
      <c r="L66" s="1226"/>
      <c r="M66" s="1226"/>
    </row>
    <row r="67" spans="1:13" ht="12.75" customHeight="1">
      <c r="A67" s="1226"/>
      <c r="B67" s="1226"/>
      <c r="C67" s="1226"/>
      <c r="D67" s="1226"/>
      <c r="E67" s="1226"/>
      <c r="F67" s="1226"/>
      <c r="G67" s="1226"/>
      <c r="H67" s="1226"/>
      <c r="I67" s="1226"/>
      <c r="J67" s="1226"/>
      <c r="K67" s="1226"/>
      <c r="L67" s="1226"/>
      <c r="M67" s="1226"/>
    </row>
    <row r="68" spans="1:13" ht="12.75" customHeight="1">
      <c r="A68" s="1226"/>
      <c r="B68" s="1226"/>
      <c r="C68" s="1226"/>
      <c r="D68" s="1226"/>
      <c r="E68" s="1226"/>
      <c r="F68" s="1226"/>
      <c r="G68" s="1226"/>
      <c r="H68" s="1226"/>
      <c r="I68" s="1226"/>
      <c r="J68" s="1226"/>
      <c r="K68" s="1226"/>
      <c r="L68" s="1226"/>
      <c r="M68" s="1226"/>
    </row>
    <row r="69" spans="1:15" ht="12.75" customHeight="1">
      <c r="A69" s="1226"/>
      <c r="B69" s="1226"/>
      <c r="C69" s="1226"/>
      <c r="D69" s="1226"/>
      <c r="E69" s="1226"/>
      <c r="F69" s="1226"/>
      <c r="G69" s="1226"/>
      <c r="H69" s="1226"/>
      <c r="I69" s="1226"/>
      <c r="J69" s="1226"/>
      <c r="K69" s="1226"/>
      <c r="L69" s="1226"/>
      <c r="M69" s="1226"/>
      <c r="O69" s="1164"/>
    </row>
    <row r="70" spans="1:13" ht="12.75" customHeight="1">
      <c r="A70" s="1226"/>
      <c r="B70" s="1226"/>
      <c r="C70" s="1226"/>
      <c r="D70" s="1226"/>
      <c r="E70" s="1226"/>
      <c r="F70" s="1226"/>
      <c r="G70" s="1226"/>
      <c r="H70" s="1226"/>
      <c r="I70" s="1226"/>
      <c r="J70" s="1226"/>
      <c r="K70" s="1226"/>
      <c r="L70" s="1226"/>
      <c r="M70" s="1226"/>
    </row>
    <row r="71" spans="1:13" ht="12.75" customHeight="1">
      <c r="A71" s="1226"/>
      <c r="B71" s="1226"/>
      <c r="C71" s="1226"/>
      <c r="D71" s="1226"/>
      <c r="E71" s="1226"/>
      <c r="F71" s="1226"/>
      <c r="G71" s="1226"/>
      <c r="H71" s="1226"/>
      <c r="I71" s="1226"/>
      <c r="J71" s="1226"/>
      <c r="K71" s="1226"/>
      <c r="L71" s="1226"/>
      <c r="M71" s="1226"/>
    </row>
    <row r="72" spans="1:13" ht="12.75" customHeight="1">
      <c r="A72" s="1226"/>
      <c r="B72" s="1226"/>
      <c r="C72" s="1226"/>
      <c r="D72" s="1226"/>
      <c r="E72" s="1226"/>
      <c r="F72" s="1226"/>
      <c r="G72" s="1226"/>
      <c r="H72" s="1226"/>
      <c r="I72" s="1226"/>
      <c r="J72" s="1226"/>
      <c r="K72" s="1226"/>
      <c r="L72" s="1226"/>
      <c r="M72" s="1226"/>
    </row>
    <row r="73" spans="1:13" ht="12.75" customHeight="1">
      <c r="A73" s="1226"/>
      <c r="B73" s="1226"/>
      <c r="C73" s="1226"/>
      <c r="D73" s="1226"/>
      <c r="E73" s="1226"/>
      <c r="F73" s="1226"/>
      <c r="G73" s="1226"/>
      <c r="H73" s="1226"/>
      <c r="I73" s="1226"/>
      <c r="J73" s="1226"/>
      <c r="K73" s="1226"/>
      <c r="L73" s="1226"/>
      <c r="M73" s="1226"/>
    </row>
    <row r="74" spans="1:13" ht="12.75" customHeight="1">
      <c r="A74" s="1226"/>
      <c r="B74" s="1226"/>
      <c r="C74" s="1226"/>
      <c r="D74" s="1226"/>
      <c r="E74" s="1226"/>
      <c r="F74" s="1226"/>
      <c r="G74" s="1226"/>
      <c r="H74" s="1226"/>
      <c r="I74" s="1226"/>
      <c r="J74" s="1226"/>
      <c r="K74" s="1226"/>
      <c r="L74" s="1226"/>
      <c r="M74" s="1226"/>
    </row>
    <row r="75" spans="1:15" ht="12.75" customHeight="1">
      <c r="A75" s="1226"/>
      <c r="B75" s="1226"/>
      <c r="C75" s="1226"/>
      <c r="D75" s="1226"/>
      <c r="E75" s="1226"/>
      <c r="F75" s="1226"/>
      <c r="G75" s="1226"/>
      <c r="H75" s="1226"/>
      <c r="I75" s="1226"/>
      <c r="J75" s="1226"/>
      <c r="K75" s="1226"/>
      <c r="L75" s="1226"/>
      <c r="M75" s="1226"/>
      <c r="O75" s="1164"/>
    </row>
    <row r="76" spans="1:13" ht="12.75" customHeight="1">
      <c r="A76" s="1226"/>
      <c r="B76" s="1226"/>
      <c r="C76" s="1226"/>
      <c r="D76" s="1226"/>
      <c r="E76" s="1226"/>
      <c r="F76" s="1226"/>
      <c r="G76" s="1226"/>
      <c r="H76" s="1226"/>
      <c r="I76" s="1226"/>
      <c r="J76" s="1226"/>
      <c r="K76" s="1226"/>
      <c r="L76" s="1226"/>
      <c r="M76" s="1226"/>
    </row>
    <row r="77" spans="1:13" ht="12.75" customHeight="1">
      <c r="A77" s="1226"/>
      <c r="B77" s="1226"/>
      <c r="C77" s="1226"/>
      <c r="D77" s="1226"/>
      <c r="E77" s="1226"/>
      <c r="F77" s="1226"/>
      <c r="G77" s="1226"/>
      <c r="H77" s="1226"/>
      <c r="I77" s="1226"/>
      <c r="J77" s="1226"/>
      <c r="K77" s="1226"/>
      <c r="L77" s="1226"/>
      <c r="M77" s="1226"/>
    </row>
    <row r="78" spans="1:13" ht="12.75" customHeight="1">
      <c r="A78" s="1226"/>
      <c r="B78" s="1226"/>
      <c r="C78" s="1226"/>
      <c r="D78" s="1226"/>
      <c r="E78" s="1226"/>
      <c r="F78" s="1226"/>
      <c r="G78" s="1226"/>
      <c r="H78" s="1226"/>
      <c r="I78" s="1226"/>
      <c r="J78" s="1226"/>
      <c r="K78" s="1226"/>
      <c r="L78" s="1226"/>
      <c r="M78" s="1226"/>
    </row>
    <row r="79" spans="1:13" ht="12.75" customHeight="1">
      <c r="A79" s="1226"/>
      <c r="B79" s="1226"/>
      <c r="C79" s="1226"/>
      <c r="D79" s="1226"/>
      <c r="E79" s="1226"/>
      <c r="F79" s="1226"/>
      <c r="G79" s="1226"/>
      <c r="H79" s="1226"/>
      <c r="I79" s="1226"/>
      <c r="J79" s="1226"/>
      <c r="K79" s="1226"/>
      <c r="L79" s="1226"/>
      <c r="M79" s="1226"/>
    </row>
    <row r="80" spans="1:13" ht="12.75" customHeight="1">
      <c r="A80" s="1226"/>
      <c r="B80" s="1226"/>
      <c r="C80" s="1226"/>
      <c r="D80" s="1226"/>
      <c r="E80" s="1226"/>
      <c r="F80" s="1226"/>
      <c r="G80" s="1226"/>
      <c r="H80" s="1226"/>
      <c r="I80" s="1226"/>
      <c r="J80" s="1226"/>
      <c r="K80" s="1226"/>
      <c r="L80" s="1226"/>
      <c r="M80" s="1226"/>
    </row>
    <row r="81" spans="1:13" ht="12.75" customHeight="1">
      <c r="A81" s="1226"/>
      <c r="B81" s="1226"/>
      <c r="C81" s="1226"/>
      <c r="D81" s="1226"/>
      <c r="E81" s="1226"/>
      <c r="F81" s="1226"/>
      <c r="G81" s="1226"/>
      <c r="H81" s="1226"/>
      <c r="I81" s="1226"/>
      <c r="J81" s="1226"/>
      <c r="K81" s="1226"/>
      <c r="L81" s="1226"/>
      <c r="M81" s="1226"/>
    </row>
    <row r="82" spans="1:15" ht="12.75" customHeight="1">
      <c r="A82" s="1226"/>
      <c r="B82" s="1226"/>
      <c r="C82" s="1226"/>
      <c r="D82" s="1226"/>
      <c r="E82" s="1226"/>
      <c r="F82" s="1226"/>
      <c r="G82" s="1226"/>
      <c r="H82" s="1226"/>
      <c r="I82" s="1226"/>
      <c r="J82" s="1226"/>
      <c r="K82" s="1226"/>
      <c r="L82" s="1226"/>
      <c r="M82" s="1226"/>
      <c r="O82" s="1164"/>
    </row>
    <row r="83" spans="1:13" ht="12.75" customHeight="1">
      <c r="A83" s="1226"/>
      <c r="B83" s="1226"/>
      <c r="C83" s="1226"/>
      <c r="D83" s="1226"/>
      <c r="E83" s="1226"/>
      <c r="F83" s="1226"/>
      <c r="G83" s="1226"/>
      <c r="H83" s="1226"/>
      <c r="I83" s="1226"/>
      <c r="J83" s="1226"/>
      <c r="K83" s="1226"/>
      <c r="L83" s="1226"/>
      <c r="M83" s="1226"/>
    </row>
    <row r="84" spans="1:13" ht="12.75" customHeight="1">
      <c r="A84" s="1226"/>
      <c r="B84" s="1226"/>
      <c r="C84" s="1226"/>
      <c r="D84" s="1226"/>
      <c r="E84" s="1226"/>
      <c r="F84" s="1226"/>
      <c r="G84" s="1226"/>
      <c r="H84" s="1226"/>
      <c r="I84" s="1226"/>
      <c r="J84" s="1226"/>
      <c r="K84" s="1226"/>
      <c r="L84" s="1226"/>
      <c r="M84" s="1226"/>
    </row>
    <row r="85" spans="1:13" ht="12.75" customHeight="1">
      <c r="A85" s="1226"/>
      <c r="B85" s="1226"/>
      <c r="C85" s="1226"/>
      <c r="D85" s="1226"/>
      <c r="E85" s="1226"/>
      <c r="F85" s="1226"/>
      <c r="G85" s="1226"/>
      <c r="H85" s="1226"/>
      <c r="I85" s="1226"/>
      <c r="J85" s="1226"/>
      <c r="K85" s="1226"/>
      <c r="L85" s="1226"/>
      <c r="M85" s="1226"/>
    </row>
    <row r="86" spans="1:13" ht="12.75" customHeight="1">
      <c r="A86" s="1226"/>
      <c r="B86" s="1226"/>
      <c r="C86" s="1226"/>
      <c r="D86" s="1226"/>
      <c r="E86" s="1226"/>
      <c r="F86" s="1226"/>
      <c r="G86" s="1226"/>
      <c r="H86" s="1226"/>
      <c r="I86" s="1226"/>
      <c r="J86" s="1226"/>
      <c r="K86" s="1226"/>
      <c r="L86" s="1226"/>
      <c r="M86" s="1226"/>
    </row>
    <row r="87" spans="1:15" ht="12.75" customHeight="1">
      <c r="A87" s="1226"/>
      <c r="B87" s="1226"/>
      <c r="C87" s="1226"/>
      <c r="D87" s="1226"/>
      <c r="E87" s="1226"/>
      <c r="F87" s="1226"/>
      <c r="G87" s="1226"/>
      <c r="H87" s="1226"/>
      <c r="I87" s="1226"/>
      <c r="J87" s="1226"/>
      <c r="K87" s="1226"/>
      <c r="L87" s="1226"/>
      <c r="M87" s="1226"/>
      <c r="O87" s="1164"/>
    </row>
    <row r="88" spans="1:13" ht="12.75" customHeight="1">
      <c r="A88" s="1226"/>
      <c r="B88" s="1226"/>
      <c r="C88" s="1226"/>
      <c r="D88" s="1226"/>
      <c r="E88" s="1226"/>
      <c r="F88" s="1226"/>
      <c r="G88" s="1226"/>
      <c r="H88" s="1226"/>
      <c r="I88" s="1226"/>
      <c r="J88" s="1226"/>
      <c r="K88" s="1226"/>
      <c r="L88" s="1226"/>
      <c r="M88" s="1226"/>
    </row>
    <row r="89" spans="1:13" s="660" customFormat="1" ht="12.75" customHeight="1">
      <c r="A89" s="1226"/>
      <c r="B89" s="1226"/>
      <c r="C89" s="1226"/>
      <c r="D89" s="1226"/>
      <c r="E89" s="1226"/>
      <c r="F89" s="1226"/>
      <c r="G89" s="1226"/>
      <c r="H89" s="1226"/>
      <c r="I89" s="1226"/>
      <c r="J89" s="1226"/>
      <c r="K89" s="1226"/>
      <c r="L89" s="1226"/>
      <c r="M89" s="1226"/>
    </row>
    <row r="90" spans="1:13" s="660" customFormat="1" ht="12.75" customHeight="1">
      <c r="A90" s="1226"/>
      <c r="B90" s="1226"/>
      <c r="C90" s="1226"/>
      <c r="D90" s="1226"/>
      <c r="E90" s="1226"/>
      <c r="F90" s="1226"/>
      <c r="G90" s="1226"/>
      <c r="H90" s="1226"/>
      <c r="I90" s="1226"/>
      <c r="J90" s="1226"/>
      <c r="K90" s="1226"/>
      <c r="L90" s="1226"/>
      <c r="M90" s="1226"/>
    </row>
    <row r="91" spans="1:13" s="660" customFormat="1" ht="12.75" customHeight="1">
      <c r="A91" s="1226"/>
      <c r="B91" s="1226"/>
      <c r="C91" s="1226"/>
      <c r="D91" s="1226"/>
      <c r="E91" s="1226"/>
      <c r="F91" s="1226"/>
      <c r="G91" s="1226"/>
      <c r="H91" s="1226"/>
      <c r="I91" s="1226"/>
      <c r="J91" s="1226"/>
      <c r="K91" s="1226"/>
      <c r="L91" s="1226"/>
      <c r="M91" s="1226"/>
    </row>
    <row r="92" spans="1:13" s="660" customFormat="1" ht="12.75" customHeight="1">
      <c r="A92" s="1226"/>
      <c r="B92" s="1226"/>
      <c r="C92" s="1226"/>
      <c r="D92" s="1226"/>
      <c r="E92" s="1226"/>
      <c r="F92" s="1226"/>
      <c r="G92" s="1226"/>
      <c r="H92" s="1226"/>
      <c r="I92" s="1226"/>
      <c r="J92" s="1226"/>
      <c r="K92" s="1226"/>
      <c r="L92" s="1226"/>
      <c r="M92" s="1226"/>
    </row>
    <row r="93" spans="1:13" s="660" customFormat="1" ht="12.75" customHeight="1">
      <c r="A93" s="1226"/>
      <c r="B93" s="1226"/>
      <c r="C93" s="1226"/>
      <c r="D93" s="1226"/>
      <c r="E93" s="1226"/>
      <c r="F93" s="1226"/>
      <c r="G93" s="1226"/>
      <c r="H93" s="1226"/>
      <c r="I93" s="1226"/>
      <c r="J93" s="1226"/>
      <c r="K93" s="1226"/>
      <c r="L93" s="1226"/>
      <c r="M93" s="1226"/>
    </row>
    <row r="94" spans="1:13" s="660" customFormat="1" ht="12.75" customHeight="1">
      <c r="A94" s="1226"/>
      <c r="B94" s="1226"/>
      <c r="C94" s="1226"/>
      <c r="D94" s="1226"/>
      <c r="E94" s="1226"/>
      <c r="F94" s="1226"/>
      <c r="G94" s="1226"/>
      <c r="H94" s="1226"/>
      <c r="I94" s="1226"/>
      <c r="J94" s="1226"/>
      <c r="K94" s="1226"/>
      <c r="L94" s="1226"/>
      <c r="M94" s="1226"/>
    </row>
    <row r="95" spans="1:13" s="660" customFormat="1" ht="12.75" customHeight="1">
      <c r="A95" s="1226"/>
      <c r="B95" s="1226"/>
      <c r="C95" s="1226"/>
      <c r="D95" s="1226"/>
      <c r="E95" s="1226"/>
      <c r="F95" s="1226"/>
      <c r="G95" s="1226"/>
      <c r="H95" s="1226"/>
      <c r="I95" s="1226"/>
      <c r="J95" s="1226"/>
      <c r="K95" s="1226"/>
      <c r="L95" s="1226"/>
      <c r="M95" s="1226"/>
    </row>
    <row r="96" spans="1:13" s="660" customFormat="1" ht="12.75" customHeight="1">
      <c r="A96" s="1226"/>
      <c r="B96" s="1226"/>
      <c r="C96" s="1226"/>
      <c r="D96" s="1226"/>
      <c r="E96" s="1226"/>
      <c r="F96" s="1226"/>
      <c r="G96" s="1226"/>
      <c r="H96" s="1226"/>
      <c r="I96" s="1226"/>
      <c r="J96" s="1226"/>
      <c r="K96" s="1226"/>
      <c r="L96" s="1226"/>
      <c r="M96" s="1226"/>
    </row>
    <row r="97" spans="1:15" s="660" customFormat="1" ht="12.75" customHeight="1">
      <c r="A97" s="1226"/>
      <c r="B97" s="1226"/>
      <c r="C97" s="1226"/>
      <c r="D97" s="1226"/>
      <c r="E97" s="1226"/>
      <c r="F97" s="1226"/>
      <c r="G97" s="1226"/>
      <c r="H97" s="1226"/>
      <c r="I97" s="1226"/>
      <c r="J97" s="1226"/>
      <c r="K97" s="1226"/>
      <c r="L97" s="1226"/>
      <c r="M97" s="1226"/>
      <c r="O97" s="1164"/>
    </row>
    <row r="98" spans="1:13" ht="12.75" customHeight="1">
      <c r="A98" s="1226"/>
      <c r="B98" s="1226"/>
      <c r="C98" s="1226"/>
      <c r="D98" s="1226"/>
      <c r="E98" s="1226"/>
      <c r="F98" s="1226"/>
      <c r="G98" s="1226"/>
      <c r="H98" s="1226"/>
      <c r="I98" s="1226"/>
      <c r="J98" s="1226"/>
      <c r="K98" s="1226"/>
      <c r="L98" s="1226"/>
      <c r="M98" s="1226"/>
    </row>
    <row r="99" spans="1:13" ht="12.75" customHeight="1">
      <c r="A99" s="1226"/>
      <c r="B99" s="1226"/>
      <c r="C99" s="1226"/>
      <c r="D99" s="1226"/>
      <c r="E99" s="1226"/>
      <c r="F99" s="1226"/>
      <c r="G99" s="1226"/>
      <c r="H99" s="1226"/>
      <c r="I99" s="1226"/>
      <c r="J99" s="1226"/>
      <c r="K99" s="1226"/>
      <c r="L99" s="1226"/>
      <c r="M99" s="1226"/>
    </row>
    <row r="100" spans="1:13" ht="12.75" customHeight="1">
      <c r="A100" s="1226"/>
      <c r="B100" s="1226"/>
      <c r="C100" s="1226"/>
      <c r="D100" s="1226"/>
      <c r="E100" s="1226"/>
      <c r="F100" s="1226"/>
      <c r="G100" s="1226"/>
      <c r="H100" s="1226"/>
      <c r="I100" s="1226"/>
      <c r="J100" s="1226"/>
      <c r="K100" s="1226"/>
      <c r="L100" s="1226"/>
      <c r="M100" s="1226"/>
    </row>
    <row r="101" spans="1:15" ht="12.75" customHeight="1">
      <c r="A101" s="1226"/>
      <c r="B101" s="1226"/>
      <c r="C101" s="1226"/>
      <c r="D101" s="1226"/>
      <c r="E101" s="1226"/>
      <c r="F101" s="1226"/>
      <c r="G101" s="1226"/>
      <c r="H101" s="1226"/>
      <c r="I101" s="1226"/>
      <c r="J101" s="1226"/>
      <c r="K101" s="1226"/>
      <c r="L101" s="1226"/>
      <c r="M101" s="1226"/>
      <c r="O101" s="1164"/>
    </row>
    <row r="102" spans="1:13" ht="12.75" customHeight="1">
      <c r="A102" s="1226"/>
      <c r="B102" s="1226"/>
      <c r="C102" s="1226"/>
      <c r="D102" s="1226"/>
      <c r="E102" s="1226"/>
      <c r="F102" s="1226"/>
      <c r="G102" s="1226"/>
      <c r="H102" s="1226"/>
      <c r="I102" s="1226"/>
      <c r="J102" s="1226"/>
      <c r="K102" s="1226"/>
      <c r="L102" s="1226"/>
      <c r="M102" s="1226"/>
    </row>
    <row r="103" spans="1:13" ht="12.75" customHeight="1">
      <c r="A103" s="1226"/>
      <c r="B103" s="1226"/>
      <c r="C103" s="1226"/>
      <c r="D103" s="1226"/>
      <c r="E103" s="1226"/>
      <c r="F103" s="1226"/>
      <c r="G103" s="1226"/>
      <c r="H103" s="1226"/>
      <c r="I103" s="1226"/>
      <c r="J103" s="1226"/>
      <c r="K103" s="1226"/>
      <c r="L103" s="1226"/>
      <c r="M103" s="1226"/>
    </row>
    <row r="104" spans="1:13" ht="12.75" customHeight="1">
      <c r="A104" s="1226"/>
      <c r="B104" s="1226"/>
      <c r="C104" s="1226"/>
      <c r="D104" s="1226"/>
      <c r="E104" s="1226"/>
      <c r="F104" s="1226"/>
      <c r="G104" s="1226"/>
      <c r="H104" s="1226"/>
      <c r="I104" s="1226"/>
      <c r="J104" s="1226"/>
      <c r="K104" s="1226"/>
      <c r="L104" s="1226"/>
      <c r="M104" s="1226"/>
    </row>
    <row r="105" spans="1:13" ht="12.75" customHeight="1">
      <c r="A105" s="1226"/>
      <c r="B105" s="1226"/>
      <c r="C105" s="1226"/>
      <c r="D105" s="1226"/>
      <c r="E105" s="1226"/>
      <c r="F105" s="1226"/>
      <c r="G105" s="1226"/>
      <c r="H105" s="1226"/>
      <c r="I105" s="1226"/>
      <c r="J105" s="1226"/>
      <c r="K105" s="1226"/>
      <c r="L105" s="1226"/>
      <c r="M105" s="1226"/>
    </row>
    <row r="106" spans="1:13" ht="12.75" customHeight="1">
      <c r="A106" s="1226"/>
      <c r="B106" s="1226"/>
      <c r="C106" s="1226"/>
      <c r="D106" s="1226"/>
      <c r="E106" s="1226"/>
      <c r="F106" s="1226"/>
      <c r="G106" s="1226"/>
      <c r="H106" s="1226"/>
      <c r="I106" s="1226"/>
      <c r="J106" s="1226"/>
      <c r="K106" s="1226"/>
      <c r="L106" s="1226"/>
      <c r="M106" s="1226"/>
    </row>
    <row r="107" spans="1:15" ht="12.75" customHeight="1">
      <c r="A107" s="1226"/>
      <c r="B107" s="1226"/>
      <c r="C107" s="1226"/>
      <c r="D107" s="1226"/>
      <c r="E107" s="1226"/>
      <c r="F107" s="1226"/>
      <c r="G107" s="1226"/>
      <c r="H107" s="1226"/>
      <c r="I107" s="1226"/>
      <c r="J107" s="1226"/>
      <c r="K107" s="1226"/>
      <c r="L107" s="1226"/>
      <c r="M107" s="1226"/>
      <c r="O107" s="1164"/>
    </row>
    <row r="108" spans="1:13" ht="12.75" customHeight="1">
      <c r="A108" s="1226"/>
      <c r="B108" s="1226"/>
      <c r="C108" s="1226"/>
      <c r="D108" s="1226"/>
      <c r="E108" s="1226"/>
      <c r="F108" s="1226"/>
      <c r="G108" s="1226"/>
      <c r="H108" s="1226"/>
      <c r="I108" s="1226"/>
      <c r="J108" s="1226"/>
      <c r="K108" s="1226"/>
      <c r="L108" s="1226"/>
      <c r="M108" s="1226"/>
    </row>
    <row r="109" spans="1:13" ht="12.75" customHeight="1">
      <c r="A109" s="1226"/>
      <c r="B109" s="1226"/>
      <c r="C109" s="1226"/>
      <c r="D109" s="1226"/>
      <c r="E109" s="1226"/>
      <c r="F109" s="1226"/>
      <c r="G109" s="1226"/>
      <c r="H109" s="1226"/>
      <c r="I109" s="1226"/>
      <c r="J109" s="1226"/>
      <c r="K109" s="1226"/>
      <c r="L109" s="1226"/>
      <c r="M109" s="1226"/>
    </row>
    <row r="110" spans="1:13" ht="12.75" customHeight="1">
      <c r="A110" s="1226"/>
      <c r="B110" s="1226"/>
      <c r="C110" s="1226"/>
      <c r="D110" s="1226"/>
      <c r="E110" s="1226"/>
      <c r="F110" s="1226"/>
      <c r="G110" s="1226"/>
      <c r="H110" s="1226"/>
      <c r="I110" s="1226"/>
      <c r="J110" s="1226"/>
      <c r="K110" s="1226"/>
      <c r="L110" s="1226"/>
      <c r="M110" s="1226"/>
    </row>
    <row r="111" spans="1:13" ht="12.75" customHeight="1">
      <c r="A111" s="1226"/>
      <c r="B111" s="1226"/>
      <c r="C111" s="1226"/>
      <c r="D111" s="1226"/>
      <c r="E111" s="1226"/>
      <c r="F111" s="1226"/>
      <c r="G111" s="1226"/>
      <c r="H111" s="1226"/>
      <c r="I111" s="1226"/>
      <c r="J111" s="1226"/>
      <c r="K111" s="1226"/>
      <c r="L111" s="1226"/>
      <c r="M111" s="1226"/>
    </row>
    <row r="112" spans="1:13" ht="12.75" customHeight="1">
      <c r="A112" s="1226"/>
      <c r="B112" s="1226"/>
      <c r="C112" s="1226"/>
      <c r="D112" s="1226"/>
      <c r="E112" s="1226"/>
      <c r="F112" s="1226"/>
      <c r="G112" s="1226"/>
      <c r="H112" s="1226"/>
      <c r="I112" s="1226"/>
      <c r="J112" s="1226"/>
      <c r="K112" s="1226"/>
      <c r="L112" s="1226"/>
      <c r="M112" s="1226"/>
    </row>
    <row r="113" spans="1:13" ht="12.75" customHeight="1">
      <c r="A113" s="1226"/>
      <c r="B113" s="1226"/>
      <c r="C113" s="1226"/>
      <c r="D113" s="1226"/>
      <c r="E113" s="1226"/>
      <c r="F113" s="1226"/>
      <c r="G113" s="1226"/>
      <c r="H113" s="1226"/>
      <c r="I113" s="1226"/>
      <c r="J113" s="1226"/>
      <c r="K113" s="1226"/>
      <c r="L113" s="1226"/>
      <c r="M113" s="1226"/>
    </row>
    <row r="114" spans="1:13" ht="12.75" customHeight="1">
      <c r="A114" s="1226"/>
      <c r="B114" s="1226"/>
      <c r="C114" s="1226"/>
      <c r="D114" s="1226"/>
      <c r="E114" s="1226"/>
      <c r="F114" s="1226"/>
      <c r="G114" s="1226"/>
      <c r="H114" s="1226"/>
      <c r="I114" s="1226"/>
      <c r="J114" s="1226"/>
      <c r="K114" s="1226"/>
      <c r="L114" s="1226"/>
      <c r="M114" s="1226"/>
    </row>
    <row r="115" spans="1:13" ht="12.75" customHeight="1">
      <c r="A115" s="1226"/>
      <c r="B115" s="1226"/>
      <c r="C115" s="1226"/>
      <c r="D115" s="1226"/>
      <c r="E115" s="1226"/>
      <c r="F115" s="1226"/>
      <c r="G115" s="1226"/>
      <c r="H115" s="1226"/>
      <c r="I115" s="1226"/>
      <c r="J115" s="1226"/>
      <c r="K115" s="1226"/>
      <c r="L115" s="1226"/>
      <c r="M115" s="1226"/>
    </row>
    <row r="116" spans="1:13" ht="12.75" customHeight="1">
      <c r="A116" s="1226"/>
      <c r="B116" s="1226"/>
      <c r="C116" s="1226"/>
      <c r="D116" s="1226"/>
      <c r="E116" s="1226"/>
      <c r="F116" s="1226"/>
      <c r="G116" s="1226"/>
      <c r="H116" s="1226"/>
      <c r="I116" s="1226"/>
      <c r="J116" s="1226"/>
      <c r="K116" s="1226"/>
      <c r="L116" s="1226"/>
      <c r="M116" s="1226"/>
    </row>
    <row r="117" spans="1:13" ht="12.75" customHeight="1">
      <c r="A117" s="1226"/>
      <c r="B117" s="1226"/>
      <c r="C117" s="1226"/>
      <c r="D117" s="1226"/>
      <c r="E117" s="1226"/>
      <c r="F117" s="1226"/>
      <c r="G117" s="1226"/>
      <c r="H117" s="1226"/>
      <c r="I117" s="1226"/>
      <c r="J117" s="1226"/>
      <c r="K117" s="1226"/>
      <c r="L117" s="1226"/>
      <c r="M117" s="1226"/>
    </row>
    <row r="118" spans="1:13" ht="12.75" customHeight="1">
      <c r="A118" s="1226"/>
      <c r="B118" s="1226"/>
      <c r="C118" s="1226"/>
      <c r="D118" s="1226"/>
      <c r="E118" s="1226"/>
      <c r="F118" s="1226"/>
      <c r="G118" s="1226"/>
      <c r="H118" s="1226"/>
      <c r="I118" s="1226"/>
      <c r="J118" s="1226"/>
      <c r="K118" s="1226"/>
      <c r="L118" s="1226"/>
      <c r="M118" s="1226"/>
    </row>
    <row r="119" spans="1:13" ht="12.75" customHeight="1">
      <c r="A119" s="1226"/>
      <c r="B119" s="1226"/>
      <c r="C119" s="1226"/>
      <c r="D119" s="1226"/>
      <c r="E119" s="1226"/>
      <c r="F119" s="1226"/>
      <c r="G119" s="1226"/>
      <c r="H119" s="1226"/>
      <c r="I119" s="1226"/>
      <c r="J119" s="1226"/>
      <c r="K119" s="1226"/>
      <c r="L119" s="1226"/>
      <c r="M119" s="1226"/>
    </row>
    <row r="120" spans="1:13" ht="12.75" customHeight="1">
      <c r="A120" s="1226"/>
      <c r="B120" s="1226"/>
      <c r="C120" s="1226"/>
      <c r="D120" s="1226"/>
      <c r="E120" s="1226"/>
      <c r="F120" s="1226"/>
      <c r="G120" s="1226"/>
      <c r="H120" s="1226"/>
      <c r="I120" s="1226"/>
      <c r="J120" s="1226"/>
      <c r="K120" s="1226"/>
      <c r="L120" s="1226"/>
      <c r="M120" s="1226"/>
    </row>
    <row r="121" spans="1:13" ht="12.75" customHeight="1">
      <c r="A121" s="1226"/>
      <c r="B121" s="1226"/>
      <c r="C121" s="1226"/>
      <c r="D121" s="1226"/>
      <c r="E121" s="1226"/>
      <c r="F121" s="1226"/>
      <c r="G121" s="1226"/>
      <c r="H121" s="1226"/>
      <c r="I121" s="1226"/>
      <c r="J121" s="1226"/>
      <c r="K121" s="1226"/>
      <c r="L121" s="1226"/>
      <c r="M121" s="1226"/>
    </row>
    <row r="122" spans="1:13" ht="12.75" customHeight="1">
      <c r="A122" s="1226"/>
      <c r="B122" s="1226"/>
      <c r="C122" s="1226"/>
      <c r="D122" s="1226"/>
      <c r="E122" s="1226"/>
      <c r="F122" s="1226"/>
      <c r="G122" s="1226"/>
      <c r="H122" s="1226"/>
      <c r="I122" s="1226"/>
      <c r="J122" s="1226"/>
      <c r="K122" s="1226"/>
      <c r="L122" s="1226"/>
      <c r="M122" s="1226"/>
    </row>
    <row r="123" spans="1:13" ht="15.75">
      <c r="A123" s="1226"/>
      <c r="B123" s="1226"/>
      <c r="C123" s="1226"/>
      <c r="D123" s="1226"/>
      <c r="E123" s="1226"/>
      <c r="F123" s="1226"/>
      <c r="G123" s="1226"/>
      <c r="H123" s="1226"/>
      <c r="I123" s="1226"/>
      <c r="J123" s="1226"/>
      <c r="K123" s="1226"/>
      <c r="L123" s="1226"/>
      <c r="M123" s="1226"/>
    </row>
    <row r="124" spans="1:13" ht="15.75">
      <c r="A124" s="1226"/>
      <c r="B124" s="1226"/>
      <c r="C124" s="1226"/>
      <c r="D124" s="1226"/>
      <c r="E124" s="1226"/>
      <c r="F124" s="1226"/>
      <c r="G124" s="1226"/>
      <c r="H124" s="1226"/>
      <c r="I124" s="1226"/>
      <c r="J124" s="1226"/>
      <c r="K124" s="1226"/>
      <c r="L124" s="1226"/>
      <c r="M124" s="1226"/>
    </row>
    <row r="125" spans="1:15" ht="15.75">
      <c r="A125" s="1226"/>
      <c r="B125" s="1226"/>
      <c r="C125" s="1226"/>
      <c r="D125" s="1226"/>
      <c r="E125" s="1226"/>
      <c r="F125" s="1226"/>
      <c r="G125" s="1226"/>
      <c r="H125" s="1226"/>
      <c r="I125" s="1226"/>
      <c r="J125" s="1226"/>
      <c r="K125" s="1226"/>
      <c r="L125" s="1226"/>
      <c r="M125" s="1226"/>
      <c r="O125" s="1164"/>
    </row>
    <row r="126" spans="1:13" ht="15.75">
      <c r="A126" s="1226"/>
      <c r="B126" s="1226"/>
      <c r="C126" s="1226"/>
      <c r="D126" s="1226"/>
      <c r="E126" s="1226"/>
      <c r="F126" s="1226"/>
      <c r="G126" s="1226"/>
      <c r="H126" s="1226"/>
      <c r="I126" s="1226"/>
      <c r="J126" s="1226"/>
      <c r="K126" s="1226"/>
      <c r="L126" s="1226"/>
      <c r="M126" s="1226"/>
    </row>
    <row r="127" spans="1:13" ht="15.75">
      <c r="A127" s="1226"/>
      <c r="B127" s="1226"/>
      <c r="C127" s="1226"/>
      <c r="D127" s="1226"/>
      <c r="E127" s="1226"/>
      <c r="F127" s="1226"/>
      <c r="G127" s="1226"/>
      <c r="H127" s="1226"/>
      <c r="I127" s="1226"/>
      <c r="J127" s="1226"/>
      <c r="K127" s="1226"/>
      <c r="L127" s="1226"/>
      <c r="M127" s="1226"/>
    </row>
    <row r="128" spans="1:15" ht="15.75">
      <c r="A128" s="1226"/>
      <c r="B128" s="1226"/>
      <c r="C128" s="1226"/>
      <c r="D128" s="1226"/>
      <c r="E128" s="1226"/>
      <c r="F128" s="1226"/>
      <c r="G128" s="1226"/>
      <c r="H128" s="1226"/>
      <c r="I128" s="1226"/>
      <c r="J128" s="1226"/>
      <c r="K128" s="1226"/>
      <c r="L128" s="1226"/>
      <c r="M128" s="1226"/>
      <c r="O128" s="1164"/>
    </row>
    <row r="129" spans="1:15" ht="15.75">
      <c r="A129" s="1226"/>
      <c r="B129" s="1226"/>
      <c r="C129" s="1226"/>
      <c r="D129" s="1226"/>
      <c r="E129" s="1226"/>
      <c r="F129" s="1226"/>
      <c r="G129" s="1226"/>
      <c r="H129" s="1226"/>
      <c r="I129" s="1226"/>
      <c r="J129" s="1226"/>
      <c r="K129" s="1226"/>
      <c r="L129" s="1226"/>
      <c r="M129" s="1226"/>
      <c r="O129" s="1164"/>
    </row>
    <row r="130" spans="1:13" ht="15.75">
      <c r="A130" s="1226"/>
      <c r="B130" s="1226"/>
      <c r="C130" s="1226"/>
      <c r="D130" s="1226"/>
      <c r="E130" s="1226"/>
      <c r="F130" s="1226"/>
      <c r="G130" s="1226"/>
      <c r="H130" s="1226"/>
      <c r="I130" s="1226"/>
      <c r="J130" s="1226"/>
      <c r="K130" s="1226"/>
      <c r="L130" s="1226"/>
      <c r="M130" s="1226"/>
    </row>
    <row r="131" spans="1:13" ht="12.75" customHeight="1">
      <c r="A131" s="1226"/>
      <c r="B131" s="1226"/>
      <c r="C131" s="1226"/>
      <c r="D131" s="1226"/>
      <c r="E131" s="1226"/>
      <c r="F131" s="1226"/>
      <c r="G131" s="1226"/>
      <c r="H131" s="1226"/>
      <c r="I131" s="1226"/>
      <c r="J131" s="1226"/>
      <c r="K131" s="1226"/>
      <c r="L131" s="1226"/>
      <c r="M131" s="1226"/>
    </row>
    <row r="132" spans="1:13" ht="12.75" customHeight="1">
      <c r="A132" s="1226"/>
      <c r="B132" s="1226"/>
      <c r="C132" s="1226"/>
      <c r="D132" s="1226"/>
      <c r="E132" s="1226"/>
      <c r="F132" s="1226"/>
      <c r="G132" s="1226"/>
      <c r="H132" s="1226"/>
      <c r="I132" s="1226"/>
      <c r="J132" s="1226"/>
      <c r="K132" s="1226"/>
      <c r="L132" s="1226"/>
      <c r="M132" s="1226"/>
    </row>
    <row r="133" spans="1:13" ht="12.75" customHeight="1">
      <c r="A133" s="1226"/>
      <c r="B133" s="1226"/>
      <c r="C133" s="1226"/>
      <c r="D133" s="1226"/>
      <c r="E133" s="1226"/>
      <c r="F133" s="1226"/>
      <c r="G133" s="1226"/>
      <c r="H133" s="1226"/>
      <c r="I133" s="1226"/>
      <c r="J133" s="1226"/>
      <c r="K133" s="1226"/>
      <c r="L133" s="1226"/>
      <c r="M133" s="1226"/>
    </row>
    <row r="134" spans="1:13" ht="12.75" customHeight="1">
      <c r="A134" s="1226"/>
      <c r="B134" s="1226"/>
      <c r="C134" s="1226"/>
      <c r="D134" s="1226"/>
      <c r="E134" s="1226"/>
      <c r="F134" s="1226"/>
      <c r="G134" s="1226"/>
      <c r="H134" s="1226"/>
      <c r="I134" s="1226"/>
      <c r="J134" s="1226"/>
      <c r="K134" s="1226"/>
      <c r="L134" s="1226"/>
      <c r="M134" s="1226"/>
    </row>
  </sheetData>
  <sheetProtection password="995A" sheet="1"/>
  <mergeCells count="71">
    <mergeCell ref="A3:O3"/>
    <mergeCell ref="A4:O4"/>
    <mergeCell ref="A5:B5"/>
    <mergeCell ref="F5:G5"/>
    <mergeCell ref="M5:O5"/>
    <mergeCell ref="M6:O7"/>
    <mergeCell ref="A6:L6"/>
    <mergeCell ref="A8:A9"/>
    <mergeCell ref="B8:B9"/>
    <mergeCell ref="M8:O8"/>
    <mergeCell ref="M9:O9"/>
    <mergeCell ref="A10:A11"/>
    <mergeCell ref="B10:B11"/>
    <mergeCell ref="M10:O10"/>
    <mergeCell ref="M11:O11"/>
    <mergeCell ref="A14:A15"/>
    <mergeCell ref="B14:B15"/>
    <mergeCell ref="M14:O14"/>
    <mergeCell ref="M15:O15"/>
    <mergeCell ref="B16:B17"/>
    <mergeCell ref="B18:B19"/>
    <mergeCell ref="M18:O18"/>
    <mergeCell ref="M19:O19"/>
    <mergeCell ref="A16:A17"/>
    <mergeCell ref="A18:A19"/>
    <mergeCell ref="A20:A21"/>
    <mergeCell ref="B20:B21"/>
    <mergeCell ref="M20:O20"/>
    <mergeCell ref="M21:O21"/>
    <mergeCell ref="A22:A23"/>
    <mergeCell ref="B22:B23"/>
    <mergeCell ref="M22:O22"/>
    <mergeCell ref="M23:O23"/>
    <mergeCell ref="A24:A25"/>
    <mergeCell ref="B24:B25"/>
    <mergeCell ref="M24:O24"/>
    <mergeCell ref="M25:O25"/>
    <mergeCell ref="A26:A27"/>
    <mergeCell ref="B26:B27"/>
    <mergeCell ref="M26:O26"/>
    <mergeCell ref="M27:O27"/>
    <mergeCell ref="B43:E43"/>
    <mergeCell ref="A44:O44"/>
    <mergeCell ref="A32:A33"/>
    <mergeCell ref="B32:B33"/>
    <mergeCell ref="M32:O32"/>
    <mergeCell ref="M33:O33"/>
    <mergeCell ref="A36:B38"/>
    <mergeCell ref="M36:O36"/>
    <mergeCell ref="M37:O37"/>
    <mergeCell ref="M38:O38"/>
    <mergeCell ref="B41:E41"/>
    <mergeCell ref="B42:E42"/>
    <mergeCell ref="A28:A29"/>
    <mergeCell ref="B28:B29"/>
    <mergeCell ref="M28:O28"/>
    <mergeCell ref="M29:O29"/>
    <mergeCell ref="A34:A35"/>
    <mergeCell ref="A30:A31"/>
    <mergeCell ref="B30:B31"/>
    <mergeCell ref="M30:O30"/>
    <mergeCell ref="A12:A13"/>
    <mergeCell ref="B12:B13"/>
    <mergeCell ref="M13:O13"/>
    <mergeCell ref="M12:O12"/>
    <mergeCell ref="B34:B35"/>
    <mergeCell ref="M34:O34"/>
    <mergeCell ref="M35:O35"/>
    <mergeCell ref="M16:O16"/>
    <mergeCell ref="M17:O17"/>
    <mergeCell ref="M31:O31"/>
  </mergeCells>
  <printOptions horizontalCentered="1" verticalCentered="1"/>
  <pageMargins left="0" right="0" top="0.39375" bottom="0.39375" header="0.2361111111111111" footer="0.2361111111111111"/>
  <pageSetup fitToHeight="0" fitToWidth="1" horizontalDpi="600" verticalDpi="600" orientation="landscape" paperSize="9" scale="73" r:id="rId4"/>
  <headerFooter alignWithMargins="0">
    <oddHeader>&amp;C&amp;A</oddHeader>
    <oddFooter>&amp;CPágina &amp;P</oddFooter>
  </headerFooter>
  <rowBreaks count="2" manualBreakCount="2">
    <brk id="88" max="255" man="1"/>
    <brk id="121" max="255" man="1"/>
  </rowBreaks>
  <drawing r:id="rId3"/>
  <legacyDrawing r:id="rId2"/>
  <oleObjects>
    <oleObject progId="" shapeId="1443278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Usuário do Windows</cp:lastModifiedBy>
  <cp:lastPrinted>2021-07-30T16:51:57Z</cp:lastPrinted>
  <dcterms:created xsi:type="dcterms:W3CDTF">2021-06-11T12:07:56Z</dcterms:created>
  <dcterms:modified xsi:type="dcterms:W3CDTF">2021-08-03T20:35:09Z</dcterms:modified>
  <cp:category/>
  <cp:version/>
  <cp:contentType/>
  <cp:contentStatus/>
</cp:coreProperties>
</file>